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D:\ANDERSON SECID SUBPROJ\CIDADES E LUGARES\-ADESÃO\-ITAPERUNA\SEI-1700260023702021\"/>
    </mc:Choice>
  </mc:AlternateContent>
  <xr:revisionPtr revIDLastSave="0" documentId="13_ncr:1_{85F63574-8BCA-40B5-B24C-2E7C21FAC80F}" xr6:coauthVersionLast="47" xr6:coauthVersionMax="47" xr10:uidLastSave="{00000000-0000-0000-0000-000000000000}"/>
  <bookViews>
    <workbookView xWindow="28680" yWindow="3690" windowWidth="20730" windowHeight="11040" xr2:uid="{00000000-000D-0000-FFFF-FFFF00000000}"/>
  </bookViews>
  <sheets>
    <sheet name="superficial" sheetId="4" r:id="rId1"/>
    <sheet name="TIPOS" sheetId="2" r:id="rId2"/>
    <sheet name="Planilha1" sheetId="5" r:id="rId3"/>
    <sheet name="Planilha2" sheetId="6" r:id="rId4"/>
  </sheets>
  <definedNames>
    <definedName name="_xlnm._FilterDatabase" localSheetId="0" hidden="1">superficial!#REF!</definedName>
    <definedName name="_xlnm.Print_Area" localSheetId="0">superficial!$A$1:$AH$46</definedName>
    <definedName name="_xlnm.Print_Area" localSheetId="1">TIPOS!$A$1:$K$98</definedName>
    <definedName name="solver_adj" localSheetId="0" hidden="1">superficial!$AC$11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superficial!$AC$11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superficial!$AB$11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hs1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0" i="4" l="1"/>
  <c r="AG51" i="4"/>
  <c r="AG52" i="4"/>
  <c r="AG32" i="4"/>
  <c r="AH52" i="4"/>
  <c r="AH51" i="4"/>
  <c r="AH50" i="4"/>
  <c r="AE47" i="4"/>
  <c r="AQ40" i="4"/>
  <c r="AN40" i="4"/>
  <c r="AM40" i="4"/>
  <c r="AL40" i="4"/>
  <c r="AQ36" i="4"/>
  <c r="AN36" i="4"/>
  <c r="AM36" i="4"/>
  <c r="AL36" i="4"/>
  <c r="G98" i="2"/>
  <c r="G97" i="2"/>
  <c r="AQ33" i="4"/>
  <c r="AN33" i="4"/>
  <c r="AM33" i="4"/>
  <c r="AL33" i="4"/>
  <c r="AQ29" i="4"/>
  <c r="AN29" i="4"/>
  <c r="AM29" i="4"/>
  <c r="AL29" i="4"/>
  <c r="AG29" i="4"/>
  <c r="AQ21" i="4"/>
  <c r="AN21" i="4"/>
  <c r="AM21" i="4"/>
  <c r="AL21" i="4"/>
  <c r="AQ18" i="4"/>
  <c r="AN18" i="4"/>
  <c r="AM18" i="4"/>
  <c r="AL18" i="4"/>
  <c r="AQ15" i="4"/>
  <c r="AN15" i="4"/>
  <c r="AM15" i="4"/>
  <c r="AL15" i="4"/>
  <c r="AG15" i="4"/>
  <c r="M17" i="4"/>
  <c r="P17" i="4" s="1"/>
  <c r="Q17" i="4"/>
  <c r="S17" i="4"/>
  <c r="V17" i="4"/>
  <c r="AG17" i="4"/>
  <c r="AI17" i="4"/>
  <c r="AL17" i="4"/>
  <c r="AM17" i="4"/>
  <c r="AN17" i="4"/>
  <c r="AO17" i="4"/>
  <c r="AP17" i="4"/>
  <c r="AQ17" i="4"/>
  <c r="AK17" i="4" s="1"/>
  <c r="AR17" i="4"/>
  <c r="AS17" i="4"/>
  <c r="AQ25" i="4"/>
  <c r="AN25" i="4"/>
  <c r="AM25" i="4"/>
  <c r="AL25" i="4"/>
  <c r="AG25" i="4"/>
  <c r="G94" i="2"/>
  <c r="G95" i="2"/>
  <c r="G96" i="2"/>
  <c r="G93" i="2"/>
  <c r="AQ12" i="4" s="1"/>
  <c r="AM12" i="4"/>
  <c r="AL12" i="4"/>
  <c r="AN12" i="4"/>
  <c r="AS39" i="4"/>
  <c r="AR39" i="4"/>
  <c r="AQ39" i="4"/>
  <c r="AK39" i="4" s="1"/>
  <c r="AP39" i="4"/>
  <c r="AO39" i="4"/>
  <c r="AN39" i="4"/>
  <c r="AM39" i="4"/>
  <c r="AL39" i="4"/>
  <c r="AI39" i="4"/>
  <c r="AG39" i="4"/>
  <c r="V39" i="4"/>
  <c r="S39" i="4"/>
  <c r="Q39" i="4"/>
  <c r="M39" i="4"/>
  <c r="P39" i="4" s="1"/>
  <c r="AS38" i="4"/>
  <c r="AR38" i="4"/>
  <c r="AQ38" i="4"/>
  <c r="AK38" i="4" s="1"/>
  <c r="AP38" i="4"/>
  <c r="AO38" i="4"/>
  <c r="AN38" i="4"/>
  <c r="AM38" i="4"/>
  <c r="AL38" i="4"/>
  <c r="AI38" i="4"/>
  <c r="AG38" i="4"/>
  <c r="V38" i="4"/>
  <c r="S38" i="4"/>
  <c r="Q38" i="4"/>
  <c r="M38" i="4"/>
  <c r="P38" i="4" s="1"/>
  <c r="AS35" i="4"/>
  <c r="AR35" i="4"/>
  <c r="AQ35" i="4"/>
  <c r="AK35" i="4" s="1"/>
  <c r="AP35" i="4"/>
  <c r="AO35" i="4"/>
  <c r="AN35" i="4"/>
  <c r="AM35" i="4"/>
  <c r="AL35" i="4"/>
  <c r="AI35" i="4"/>
  <c r="AG35" i="4"/>
  <c r="V35" i="4"/>
  <c r="S35" i="4"/>
  <c r="Q35" i="4"/>
  <c r="M35" i="4"/>
  <c r="P35" i="4" s="1"/>
  <c r="AS32" i="4"/>
  <c r="AR32" i="4"/>
  <c r="AQ32" i="4"/>
  <c r="AK32" i="4" s="1"/>
  <c r="AP32" i="4"/>
  <c r="AO32" i="4"/>
  <c r="AN32" i="4"/>
  <c r="AM32" i="4"/>
  <c r="AL32" i="4"/>
  <c r="AI32" i="4"/>
  <c r="V32" i="4"/>
  <c r="S32" i="4"/>
  <c r="Q32" i="4"/>
  <c r="M32" i="4"/>
  <c r="P32" i="4" s="1"/>
  <c r="Q11" i="4"/>
  <c r="Q14" i="4"/>
  <c r="V11" i="4"/>
  <c r="X17" i="4" l="1"/>
  <c r="T17" i="4"/>
  <c r="U17" i="4" s="1"/>
  <c r="W17" i="4"/>
  <c r="W38" i="4"/>
  <c r="X39" i="4"/>
  <c r="X32" i="4"/>
  <c r="X35" i="4"/>
  <c r="W32" i="4"/>
  <c r="W35" i="4"/>
  <c r="W39" i="4"/>
  <c r="X38" i="4"/>
  <c r="T32" i="4"/>
  <c r="U32" i="4" s="1"/>
  <c r="AB32" i="4" s="1"/>
  <c r="T38" i="4"/>
  <c r="U38" i="4" s="1"/>
  <c r="T39" i="4"/>
  <c r="U39" i="4" s="1"/>
  <c r="AB39" i="4" s="1"/>
  <c r="T35" i="4"/>
  <c r="U35" i="4" s="1"/>
  <c r="V20" i="4"/>
  <c r="V23" i="4"/>
  <c r="V24" i="4"/>
  <c r="V27" i="4"/>
  <c r="V28" i="4"/>
  <c r="V31" i="4"/>
  <c r="V14" i="4"/>
  <c r="Y35" i="4" l="1"/>
  <c r="AA35" i="4" s="1"/>
  <c r="AD35" i="4" s="1"/>
  <c r="AB38" i="4"/>
  <c r="U40" i="4"/>
  <c r="AU40" i="4" s="1"/>
  <c r="AV40" i="4" s="1"/>
  <c r="Y38" i="4"/>
  <c r="AB35" i="4"/>
  <c r="U36" i="4"/>
  <c r="AU36" i="4" s="1"/>
  <c r="AV36" i="4" s="1"/>
  <c r="AB17" i="4"/>
  <c r="U18" i="4"/>
  <c r="AU18" i="4" s="1"/>
  <c r="AV18" i="4" s="1"/>
  <c r="Y17" i="4"/>
  <c r="AA17" i="4" s="1"/>
  <c r="AD17" i="4" s="1"/>
  <c r="Y39" i="4"/>
  <c r="AA39" i="4" s="1"/>
  <c r="AD39" i="4" s="1"/>
  <c r="Y32" i="4"/>
  <c r="AA32" i="4" s="1"/>
  <c r="AD32" i="4" s="1"/>
  <c r="AA38" i="4"/>
  <c r="AD38" i="4" s="1"/>
  <c r="Z38" i="4"/>
  <c r="AE38" i="4" s="1"/>
  <c r="AJ38" i="4" s="1"/>
  <c r="AE39" i="4"/>
  <c r="AJ39" i="4" s="1"/>
  <c r="Z39" i="4"/>
  <c r="AQ11" i="4"/>
  <c r="AP11" i="4"/>
  <c r="AR20" i="4"/>
  <c r="AS20" i="4"/>
  <c r="AR23" i="4"/>
  <c r="AS23" i="4"/>
  <c r="AR24" i="4"/>
  <c r="AS24" i="4"/>
  <c r="AR27" i="4"/>
  <c r="AS27" i="4"/>
  <c r="AR28" i="4"/>
  <c r="AS28" i="4"/>
  <c r="AR31" i="4"/>
  <c r="AS31" i="4"/>
  <c r="AS14" i="4"/>
  <c r="AR14" i="4"/>
  <c r="AR11" i="4"/>
  <c r="AS11" i="4"/>
  <c r="AN11" i="4"/>
  <c r="S11" i="4"/>
  <c r="AR2" i="4"/>
  <c r="AL20" i="4"/>
  <c r="AM20" i="4"/>
  <c r="AN20" i="4"/>
  <c r="AO20" i="4"/>
  <c r="AP20" i="4"/>
  <c r="AQ20" i="4"/>
  <c r="AL23" i="4"/>
  <c r="AM23" i="4"/>
  <c r="AN23" i="4"/>
  <c r="AO23" i="4"/>
  <c r="AP23" i="4"/>
  <c r="AQ23" i="4"/>
  <c r="AL24" i="4"/>
  <c r="AM24" i="4"/>
  <c r="AN24" i="4"/>
  <c r="AO24" i="4"/>
  <c r="AP24" i="4"/>
  <c r="AQ24" i="4"/>
  <c r="AL27" i="4"/>
  <c r="AM27" i="4"/>
  <c r="AN27" i="4"/>
  <c r="AO27" i="4"/>
  <c r="AP27" i="4"/>
  <c r="AQ27" i="4"/>
  <c r="AL28" i="4"/>
  <c r="AM28" i="4"/>
  <c r="AN28" i="4"/>
  <c r="AO28" i="4"/>
  <c r="AP28" i="4"/>
  <c r="AQ28" i="4"/>
  <c r="AL31" i="4"/>
  <c r="AM31" i="4"/>
  <c r="AN31" i="4"/>
  <c r="AO31" i="4"/>
  <c r="AP31" i="4"/>
  <c r="AQ31" i="4"/>
  <c r="AK31" i="4" s="1"/>
  <c r="S14" i="4"/>
  <c r="Q20" i="4"/>
  <c r="S20" i="4"/>
  <c r="Q23" i="4"/>
  <c r="S23" i="4"/>
  <c r="Q24" i="4"/>
  <c r="S24" i="4"/>
  <c r="Q27" i="4"/>
  <c r="S27" i="4"/>
  <c r="Q28" i="4"/>
  <c r="S28" i="4"/>
  <c r="Q31" i="4"/>
  <c r="S31" i="4"/>
  <c r="Z35" i="4" l="1"/>
  <c r="AE35" i="4" s="1"/>
  <c r="AJ35" i="4" s="1"/>
  <c r="Z17" i="4"/>
  <c r="AE17" i="4" s="1"/>
  <c r="AJ17" i="4" s="1"/>
  <c r="AW40" i="4"/>
  <c r="X40" i="4"/>
  <c r="W40" i="4"/>
  <c r="Y40" i="4" s="1"/>
  <c r="AA40" i="4" s="1"/>
  <c r="AD40" i="4" s="1"/>
  <c r="AW36" i="4"/>
  <c r="X36" i="4"/>
  <c r="W36" i="4"/>
  <c r="Y36" i="4" s="1"/>
  <c r="AA36" i="4" s="1"/>
  <c r="AD36" i="4" s="1"/>
  <c r="Z32" i="4"/>
  <c r="AE32" i="4" s="1"/>
  <c r="AJ32" i="4" s="1"/>
  <c r="AW18" i="4"/>
  <c r="X18" i="4"/>
  <c r="W18" i="4"/>
  <c r="W31" i="4"/>
  <c r="X31" i="4"/>
  <c r="W24" i="4"/>
  <c r="X24" i="4"/>
  <c r="X28" i="4"/>
  <c r="W28" i="4"/>
  <c r="W27" i="4"/>
  <c r="X27" i="4"/>
  <c r="W23" i="4"/>
  <c r="X23" i="4"/>
  <c r="W20" i="4"/>
  <c r="X20" i="4"/>
  <c r="X11" i="4"/>
  <c r="W11" i="4"/>
  <c r="M20" i="4"/>
  <c r="M23" i="4"/>
  <c r="M24" i="4"/>
  <c r="M27" i="4"/>
  <c r="M28" i="4"/>
  <c r="M31" i="4"/>
  <c r="M14" i="4"/>
  <c r="P14" i="4" s="1"/>
  <c r="Z36" i="4" l="1"/>
  <c r="Z40" i="4"/>
  <c r="AX40" i="4"/>
  <c r="AC40" i="4"/>
  <c r="AX36" i="4"/>
  <c r="AC36" i="4"/>
  <c r="Y18" i="4"/>
  <c r="AA18" i="4" s="1"/>
  <c r="AD18" i="4" s="1"/>
  <c r="AX18" i="4"/>
  <c r="AC18" i="4"/>
  <c r="Y11" i="4"/>
  <c r="Z11" i="4" s="1"/>
  <c r="AE11" i="4" s="1"/>
  <c r="T14" i="4"/>
  <c r="U14" i="4" s="1"/>
  <c r="U15" i="4" s="1"/>
  <c r="AU15" i="4" s="1"/>
  <c r="AV15" i="4" s="1"/>
  <c r="P31" i="4"/>
  <c r="T31" i="4" s="1"/>
  <c r="U31" i="4" s="1"/>
  <c r="U33" i="4" s="1"/>
  <c r="AU33" i="4" s="1"/>
  <c r="AV33" i="4" s="1"/>
  <c r="P23" i="4"/>
  <c r="T23" i="4" s="1"/>
  <c r="U23" i="4" s="1"/>
  <c r="P28" i="4"/>
  <c r="T28" i="4" s="1"/>
  <c r="U28" i="4" s="1"/>
  <c r="AB28" i="4" s="1"/>
  <c r="P27" i="4"/>
  <c r="T27" i="4" s="1"/>
  <c r="U27" i="4" s="1"/>
  <c r="P24" i="4"/>
  <c r="T24" i="4" s="1"/>
  <c r="U24" i="4" s="1"/>
  <c r="AB24" i="4" s="1"/>
  <c r="P20" i="4"/>
  <c r="T20" i="4" s="1"/>
  <c r="U20" i="4" s="1"/>
  <c r="AI31" i="4"/>
  <c r="AG31" i="4"/>
  <c r="AG28" i="4"/>
  <c r="AI28" i="4"/>
  <c r="AI27" i="4"/>
  <c r="AG27" i="4"/>
  <c r="AI24" i="4"/>
  <c r="AG24" i="4"/>
  <c r="AG23" i="4"/>
  <c r="AI23" i="4"/>
  <c r="AI20" i="4"/>
  <c r="AI14" i="4"/>
  <c r="AI11" i="4"/>
  <c r="Z18" i="4" l="1"/>
  <c r="X33" i="4"/>
  <c r="AW33" i="4"/>
  <c r="W33" i="4"/>
  <c r="Y33" i="4" s="1"/>
  <c r="AB27" i="4"/>
  <c r="U29" i="4"/>
  <c r="AU29" i="4" s="1"/>
  <c r="AV29" i="4" s="1"/>
  <c r="U25" i="4"/>
  <c r="AU25" i="4" s="1"/>
  <c r="AV25" i="4" s="1"/>
  <c r="AB20" i="4"/>
  <c r="U21" i="4"/>
  <c r="AU21" i="4" s="1"/>
  <c r="AV21" i="4" s="1"/>
  <c r="X15" i="4"/>
  <c r="W15" i="4"/>
  <c r="AW15" i="4"/>
  <c r="AB23" i="4"/>
  <c r="AK27" i="4"/>
  <c r="AK23" i="4"/>
  <c r="AB31" i="4"/>
  <c r="AG20" i="4"/>
  <c r="AQ14" i="4"/>
  <c r="AP14" i="4"/>
  <c r="AO14" i="4"/>
  <c r="AN14" i="4"/>
  <c r="AM14" i="4"/>
  <c r="AL14" i="4"/>
  <c r="AG14" i="4"/>
  <c r="AO11" i="4"/>
  <c r="AM11" i="4"/>
  <c r="AL11" i="4"/>
  <c r="AG11" i="4"/>
  <c r="P11" i="4"/>
  <c r="I82" i="2"/>
  <c r="H82" i="2"/>
  <c r="I70" i="2"/>
  <c r="H70" i="2"/>
  <c r="H32" i="2"/>
  <c r="I32" i="2"/>
  <c r="H91" i="2"/>
  <c r="I91" i="2"/>
  <c r="H7" i="2"/>
  <c r="I7" i="2"/>
  <c r="I79" i="2"/>
  <c r="H79" i="2"/>
  <c r="H27" i="2"/>
  <c r="I27" i="2"/>
  <c r="H23" i="2"/>
  <c r="I23" i="2"/>
  <c r="H22" i="2"/>
  <c r="I22" i="2"/>
  <c r="H16" i="2"/>
  <c r="I16" i="2"/>
  <c r="H33" i="2"/>
  <c r="I33" i="2"/>
  <c r="H13" i="2"/>
  <c r="I13" i="2"/>
  <c r="H11" i="2"/>
  <c r="I11" i="2"/>
  <c r="I71" i="2"/>
  <c r="H71" i="2"/>
  <c r="H38" i="2"/>
  <c r="I38" i="2"/>
  <c r="H39" i="2"/>
  <c r="I39" i="2"/>
  <c r="H10" i="2"/>
  <c r="I10" i="2"/>
  <c r="H77" i="2"/>
  <c r="I77" i="2"/>
  <c r="H14" i="2"/>
  <c r="I14" i="2"/>
  <c r="H9" i="2"/>
  <c r="I9" i="2"/>
  <c r="H15" i="2"/>
  <c r="I15" i="2"/>
  <c r="H17" i="2"/>
  <c r="I17" i="2"/>
  <c r="H49" i="2"/>
  <c r="I49" i="2"/>
  <c r="H26" i="2"/>
  <c r="I26" i="2"/>
  <c r="I19" i="2"/>
  <c r="H19" i="2"/>
  <c r="I90" i="2"/>
  <c r="H90" i="2"/>
  <c r="I89" i="2"/>
  <c r="H89" i="2"/>
  <c r="I88" i="2"/>
  <c r="H88" i="2"/>
  <c r="I87" i="2"/>
  <c r="H87" i="2"/>
  <c r="I86" i="2"/>
  <c r="H86" i="2"/>
  <c r="I85" i="2"/>
  <c r="H85" i="2"/>
  <c r="I84" i="2"/>
  <c r="H84" i="2"/>
  <c r="I83" i="2"/>
  <c r="H83" i="2"/>
  <c r="I81" i="2"/>
  <c r="H81" i="2"/>
  <c r="I80" i="2"/>
  <c r="H80" i="2"/>
  <c r="I78" i="2"/>
  <c r="H78" i="2"/>
  <c r="I76" i="2"/>
  <c r="H76" i="2"/>
  <c r="I75" i="2"/>
  <c r="H75" i="2"/>
  <c r="I74" i="2"/>
  <c r="H74" i="2"/>
  <c r="I73" i="2"/>
  <c r="H73" i="2"/>
  <c r="I72" i="2"/>
  <c r="H72" i="2"/>
  <c r="I69" i="2"/>
  <c r="H69" i="2"/>
  <c r="I68" i="2"/>
  <c r="H68" i="2"/>
  <c r="I67" i="2"/>
  <c r="H67" i="2"/>
  <c r="I66" i="2"/>
  <c r="H66" i="2"/>
  <c r="I65" i="2"/>
  <c r="H65" i="2"/>
  <c r="I64" i="2"/>
  <c r="H64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6" i="2"/>
  <c r="H56" i="2"/>
  <c r="I55" i="2"/>
  <c r="H55" i="2"/>
  <c r="I54" i="2"/>
  <c r="H54" i="2"/>
  <c r="I53" i="2"/>
  <c r="H53" i="2"/>
  <c r="I52" i="2"/>
  <c r="H52" i="2"/>
  <c r="I51" i="2"/>
  <c r="H51" i="2"/>
  <c r="I50" i="2"/>
  <c r="H50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7" i="2"/>
  <c r="H37" i="2"/>
  <c r="I36" i="2"/>
  <c r="H36" i="2"/>
  <c r="I35" i="2"/>
  <c r="H35" i="2"/>
  <c r="I34" i="2"/>
  <c r="H34" i="2"/>
  <c r="I31" i="2"/>
  <c r="H31" i="2"/>
  <c r="I30" i="2"/>
  <c r="H30" i="2"/>
  <c r="I29" i="2"/>
  <c r="H29" i="2"/>
  <c r="I28" i="2"/>
  <c r="H28" i="2"/>
  <c r="I25" i="2"/>
  <c r="H25" i="2"/>
  <c r="I24" i="2"/>
  <c r="H24" i="2"/>
  <c r="I21" i="2"/>
  <c r="H21" i="2"/>
  <c r="I20" i="2"/>
  <c r="H20" i="2"/>
  <c r="I18" i="2"/>
  <c r="H18" i="2"/>
  <c r="I12" i="2"/>
  <c r="H12" i="2"/>
  <c r="I8" i="2"/>
  <c r="H8" i="2"/>
  <c r="H6" i="2"/>
  <c r="I6" i="2"/>
  <c r="Z33" i="4" l="1"/>
  <c r="AA33" i="4"/>
  <c r="AD33" i="4" s="1"/>
  <c r="AX33" i="4"/>
  <c r="AC33" i="4"/>
  <c r="X29" i="4"/>
  <c r="AW29" i="4"/>
  <c r="W29" i="4"/>
  <c r="AW21" i="4"/>
  <c r="W21" i="4"/>
  <c r="X21" i="4"/>
  <c r="AX15" i="4"/>
  <c r="AC15" i="4"/>
  <c r="Y15" i="4"/>
  <c r="AA15" i="4" s="1"/>
  <c r="AD15" i="4" s="1"/>
  <c r="AW25" i="4"/>
  <c r="W25" i="4"/>
  <c r="X25" i="4"/>
  <c r="W14" i="4"/>
  <c r="X14" i="4"/>
  <c r="AB14" i="4"/>
  <c r="AK14" i="4"/>
  <c r="AK20" i="4"/>
  <c r="AK28" i="4"/>
  <c r="AK24" i="4"/>
  <c r="T11" i="4"/>
  <c r="U11" i="4" s="1"/>
  <c r="Z15" i="4" l="1"/>
  <c r="Y29" i="4"/>
  <c r="AA29" i="4" s="1"/>
  <c r="AD29" i="4" s="1"/>
  <c r="AX29" i="4"/>
  <c r="AC29" i="4"/>
  <c r="Y21" i="4"/>
  <c r="AA21" i="4" s="1"/>
  <c r="AD21" i="4" s="1"/>
  <c r="Z21" i="4"/>
  <c r="AX21" i="4"/>
  <c r="AC21" i="4"/>
  <c r="U12" i="4"/>
  <c r="AU12" i="4" s="1"/>
  <c r="AV12" i="4" s="1"/>
  <c r="Y25" i="4"/>
  <c r="AA25" i="4" s="1"/>
  <c r="AD25" i="4" s="1"/>
  <c r="AX25" i="4"/>
  <c r="AC25" i="4"/>
  <c r="Y14" i="4"/>
  <c r="AA14" i="4" s="1"/>
  <c r="AD14" i="4" s="1"/>
  <c r="Y28" i="4"/>
  <c r="AA28" i="4" s="1"/>
  <c r="AD28" i="4" s="1"/>
  <c r="Y27" i="4"/>
  <c r="AA27" i="4" s="1"/>
  <c r="AD27" i="4" s="1"/>
  <c r="Y20" i="4"/>
  <c r="AA20" i="4" s="1"/>
  <c r="AD20" i="4" s="1"/>
  <c r="Y24" i="4"/>
  <c r="AA24" i="4" s="1"/>
  <c r="AD24" i="4" s="1"/>
  <c r="Y23" i="4"/>
  <c r="AA23" i="4" s="1"/>
  <c r="AD23" i="4" s="1"/>
  <c r="Y31" i="4"/>
  <c r="AA31" i="4" s="1"/>
  <c r="AD31" i="4" s="1"/>
  <c r="Z29" i="4" l="1"/>
  <c r="AW12" i="4"/>
  <c r="AX12" i="4" s="1"/>
  <c r="X12" i="4"/>
  <c r="W12" i="4"/>
  <c r="Z25" i="4"/>
  <c r="Z23" i="4"/>
  <c r="AE23" i="4" s="1"/>
  <c r="AJ23" i="4" s="1"/>
  <c r="Z27" i="4"/>
  <c r="AE27" i="4" s="1"/>
  <c r="AJ27" i="4" s="1"/>
  <c r="Z20" i="4"/>
  <c r="AE20" i="4" s="1"/>
  <c r="AJ20" i="4" s="1"/>
  <c r="Z24" i="4"/>
  <c r="AE24" i="4" s="1"/>
  <c r="AJ24" i="4" s="1"/>
  <c r="Z28" i="4"/>
  <c r="AE28" i="4" s="1"/>
  <c r="AJ28" i="4" s="1"/>
  <c r="Z14" i="4"/>
  <c r="AE14" i="4" s="1"/>
  <c r="AJ14" i="4" s="1"/>
  <c r="Z31" i="4"/>
  <c r="AE31" i="4" s="1"/>
  <c r="AJ31" i="4" s="1"/>
  <c r="Y12" i="4" l="1"/>
  <c r="AA12" i="4" s="1"/>
  <c r="AD12" i="4" s="1"/>
  <c r="AC12" i="4"/>
  <c r="AJ11" i="4"/>
  <c r="AA11" i="4"/>
  <c r="AD11" i="4" s="1"/>
  <c r="AK11" i="4"/>
  <c r="Z12" i="4" l="1"/>
  <c r="AB11" i="4"/>
</calcChain>
</file>

<file path=xl/sharedStrings.xml><?xml version="1.0" encoding="utf-8"?>
<sst xmlns="http://schemas.openxmlformats.org/spreadsheetml/2006/main" count="621" uniqueCount="334">
  <si>
    <t>ESTAQUEAMENTO</t>
  </si>
  <si>
    <t>a</t>
  </si>
  <si>
    <t>BACIA LOCAL</t>
  </si>
  <si>
    <t>CONTRIBUIÇÃO LOCAL</t>
  </si>
  <si>
    <t>DEFLÚVIO</t>
  </si>
  <si>
    <t>Coef.</t>
  </si>
  <si>
    <t>ÁREA</t>
  </si>
  <si>
    <t>COEF.</t>
  </si>
  <si>
    <t>TEMPO</t>
  </si>
  <si>
    <t>INT.</t>
  </si>
  <si>
    <t>A</t>
  </si>
  <si>
    <t>Imperm.</t>
  </si>
  <si>
    <t>PISTA</t>
  </si>
  <si>
    <t>TERRENO</t>
  </si>
  <si>
    <t>IMPER.</t>
  </si>
  <si>
    <t>TOTAL</t>
  </si>
  <si>
    <t>CONC.</t>
  </si>
  <si>
    <t>PLUV.</t>
  </si>
  <si>
    <t>LOCAL</t>
  </si>
  <si>
    <t>ESCOAR</t>
  </si>
  <si>
    <t>(ha)</t>
  </si>
  <si>
    <t>Total</t>
  </si>
  <si>
    <t>(min.)</t>
  </si>
  <si>
    <t>(mm/h)</t>
  </si>
  <si>
    <t>(l/s)</t>
  </si>
  <si>
    <t>DEFLÚVIOS  A ESCOAR</t>
  </si>
  <si>
    <t>CAPACIDADE DAS SARJETAS E VALETAS</t>
  </si>
  <si>
    <t>DECLIVIDADE</t>
  </si>
  <si>
    <t>ÁREA MOLHADA</t>
  </si>
  <si>
    <t>PERÍMETRO MOLHADO</t>
  </si>
  <si>
    <t>RAIO HIDRÁULICO</t>
  </si>
  <si>
    <t>VELOCIDADE</t>
  </si>
  <si>
    <t>TEMPO DE PERCURSO</t>
  </si>
  <si>
    <t>BASE MAIOR</t>
  </si>
  <si>
    <t>BASE MENOR</t>
  </si>
  <si>
    <t>ALTURA</t>
  </si>
  <si>
    <t>(m/m)</t>
  </si>
  <si>
    <t>(m²)</t>
  </si>
  <si>
    <t>(m)</t>
  </si>
  <si>
    <t>(m/s)</t>
  </si>
  <si>
    <t>PROJETO:</t>
  </si>
  <si>
    <t>DISPOSITIVO PROJETADO</t>
  </si>
  <si>
    <t>TIPO</t>
  </si>
  <si>
    <t>Tipo</t>
  </si>
  <si>
    <t>Dimensões</t>
  </si>
  <si>
    <t>Extensão</t>
  </si>
  <si>
    <t>-</t>
  </si>
  <si>
    <t>m</t>
  </si>
  <si>
    <t>VPC-01</t>
  </si>
  <si>
    <t>VPC-02</t>
  </si>
  <si>
    <t>VPC-03</t>
  </si>
  <si>
    <t>VPC-04</t>
  </si>
  <si>
    <t>VPA-01</t>
  </si>
  <si>
    <t>VPA-02</t>
  </si>
  <si>
    <t>VPA-03</t>
  </si>
  <si>
    <t>VPA-04</t>
  </si>
  <si>
    <t>STC-01</t>
  </si>
  <si>
    <t>STC-02</t>
  </si>
  <si>
    <t>STC-03</t>
  </si>
  <si>
    <t>STC-04</t>
  </si>
  <si>
    <t>STC-05</t>
  </si>
  <si>
    <t>STC-06</t>
  </si>
  <si>
    <t>STC-07</t>
  </si>
  <si>
    <t>STC-08</t>
  </si>
  <si>
    <t>STG-01</t>
  </si>
  <si>
    <t>STG-02</t>
  </si>
  <si>
    <t>STG-03</t>
  </si>
  <si>
    <t>STG-04</t>
  </si>
  <si>
    <t>SZC-01</t>
  </si>
  <si>
    <t>SZC-02</t>
  </si>
  <si>
    <t>SZG-01</t>
  </si>
  <si>
    <t>SZG-02</t>
  </si>
  <si>
    <t>SCC-01</t>
  </si>
  <si>
    <t>SCC-02</t>
  </si>
  <si>
    <t>SCC-03</t>
  </si>
  <si>
    <t>SCC-04</t>
  </si>
  <si>
    <t>SRC-01</t>
  </si>
  <si>
    <t>SRC-02</t>
  </si>
  <si>
    <t>SRC-03</t>
  </si>
  <si>
    <t>SRC-04</t>
  </si>
  <si>
    <t>SRC-05</t>
  </si>
  <si>
    <t>SRC-06</t>
  </si>
  <si>
    <t>SRC-07</t>
  </si>
  <si>
    <t>SRC-08</t>
  </si>
  <si>
    <t>MFC-01</t>
  </si>
  <si>
    <t>MFC-02</t>
  </si>
  <si>
    <t>MFC-03</t>
  </si>
  <si>
    <t>MFC-04</t>
  </si>
  <si>
    <t>MFC-05</t>
  </si>
  <si>
    <t>MFC-06</t>
  </si>
  <si>
    <t>MFC-07</t>
  </si>
  <si>
    <t>MFC-08</t>
  </si>
  <si>
    <t>n</t>
  </si>
  <si>
    <t>CBUQ</t>
  </si>
  <si>
    <t>DIMENSÕES</t>
  </si>
  <si>
    <t>FORMA</t>
  </si>
  <si>
    <t>Grama</t>
  </si>
  <si>
    <t>Concreto</t>
  </si>
  <si>
    <t>Trapezoidal</t>
  </si>
  <si>
    <t>Triangular</t>
  </si>
  <si>
    <t>Retangular</t>
  </si>
  <si>
    <t>SMC-01</t>
  </si>
  <si>
    <t>SMC-02</t>
  </si>
  <si>
    <t>SMC-03</t>
  </si>
  <si>
    <t>SMC-04</t>
  </si>
  <si>
    <t>SMC-05</t>
  </si>
  <si>
    <t>SMC-06</t>
  </si>
  <si>
    <t>Circular</t>
  </si>
  <si>
    <t>COEF. MANNING</t>
  </si>
  <si>
    <t>B</t>
  </si>
  <si>
    <t>b</t>
  </si>
  <si>
    <t>H</t>
  </si>
  <si>
    <t>SRC-09</t>
  </si>
  <si>
    <t>SRC-10</t>
  </si>
  <si>
    <t>SRC-11</t>
  </si>
  <si>
    <t>SRC-12</t>
  </si>
  <si>
    <t>SRC-13</t>
  </si>
  <si>
    <t>SRC-14</t>
  </si>
  <si>
    <t>SRC-15</t>
  </si>
  <si>
    <t>SRC-16</t>
  </si>
  <si>
    <t>SRC-17</t>
  </si>
  <si>
    <t>SRC-18</t>
  </si>
  <si>
    <t>SRC-19</t>
  </si>
  <si>
    <t>SRC-20</t>
  </si>
  <si>
    <t>SRC-21</t>
  </si>
  <si>
    <t>CARACTERÍSTICAS</t>
  </si>
  <si>
    <t>QUADRO DOS TIPOS DE DISPOSITIVOS DE DRENAGEM SUPERFICIAL LONGITUDINAL</t>
  </si>
  <si>
    <t>INCLINA-ÇÃO DO TALUDE</t>
  </si>
  <si>
    <t>REVESTI-MENTO</t>
  </si>
  <si>
    <t>- 0,70 x 0,30</t>
  </si>
  <si>
    <t>- 0,50 x 0,30</t>
  </si>
  <si>
    <t>- 0,50 x 0,20</t>
  </si>
  <si>
    <t>- 1,00 x 0,25</t>
  </si>
  <si>
    <t>- 1,00 x 0,30</t>
  </si>
  <si>
    <t>- 0,60 x 0,30</t>
  </si>
  <si>
    <t>- 0,20 x 0,20</t>
  </si>
  <si>
    <t>- 0,30 x 0,30</t>
  </si>
  <si>
    <t>- 1,40 x 0,35</t>
  </si>
  <si>
    <t>- 0,50 x 0,25</t>
  </si>
  <si>
    <t>- 0,70 x 0,35</t>
  </si>
  <si>
    <t>- 0,40 x 0,30</t>
  </si>
  <si>
    <t>- 0,40 x 0,40</t>
  </si>
  <si>
    <t>- 0,50 x 0,40</t>
  </si>
  <si>
    <t>SRC-22</t>
  </si>
  <si>
    <t>SRC-23</t>
  </si>
  <si>
    <t>SRC-24</t>
  </si>
  <si>
    <t>SRC-25</t>
  </si>
  <si>
    <t>SRC-26</t>
  </si>
  <si>
    <t>SRC-27</t>
  </si>
  <si>
    <t>SRC-28</t>
  </si>
  <si>
    <t>- 0,30 x 0,40</t>
  </si>
  <si>
    <t>- 0,60 x 0,40</t>
  </si>
  <si>
    <t>- 0,70 x 0,40</t>
  </si>
  <si>
    <t>- 0,80 x 0,40</t>
  </si>
  <si>
    <t>- 0,40 x 0,60</t>
  </si>
  <si>
    <t>- 0,50 x 0,60</t>
  </si>
  <si>
    <t>- 0,60 x 0,60</t>
  </si>
  <si>
    <t>- 0,70 x 0,60</t>
  </si>
  <si>
    <t>- 0,80 x 0,60</t>
  </si>
  <si>
    <t>- 1,00 x 0,60</t>
  </si>
  <si>
    <t>- 0,50 x 0,80</t>
  </si>
  <si>
    <t>- 0,80 x 0,80</t>
  </si>
  <si>
    <t>- 0,70 x 0,80</t>
  </si>
  <si>
    <t>- 1,00 x 0,80</t>
  </si>
  <si>
    <t>- 0,60 x 0,80</t>
  </si>
  <si>
    <t>- 0,60 x 1,00</t>
  </si>
  <si>
    <t>- 0,70 x 1,00</t>
  </si>
  <si>
    <t>- 1,00 x 1,00</t>
  </si>
  <si>
    <t>- 0,80 x 1,00</t>
  </si>
  <si>
    <t>- 1,20 x 1,00</t>
  </si>
  <si>
    <t>- 0,80 x 1,20</t>
  </si>
  <si>
    <t>- 1,00 x 1,20</t>
  </si>
  <si>
    <t>- 1,20 x 1,20</t>
  </si>
  <si>
    <t>- 1,50 x 1,20</t>
  </si>
  <si>
    <t>- 0,50 x 0,05</t>
  </si>
  <si>
    <t>- 0,13 x 0,02</t>
  </si>
  <si>
    <t>- Ø 0,30</t>
  </si>
  <si>
    <t>- Ø 0,40</t>
  </si>
  <si>
    <t>- Ø 0,50</t>
  </si>
  <si>
    <t>- Ø 0,60</t>
  </si>
  <si>
    <t>- Ø 0,70</t>
  </si>
  <si>
    <t>- Ø 0,80</t>
  </si>
  <si>
    <t>REVEST.</t>
  </si>
  <si>
    <t>Q</t>
  </si>
  <si>
    <t>CONTRATANTE</t>
  </si>
  <si>
    <t>ARQUIVO</t>
  </si>
  <si>
    <t>DATA</t>
  </si>
  <si>
    <t>REVISÃO</t>
  </si>
  <si>
    <t>FOLHA</t>
  </si>
  <si>
    <t>PLUVIÓGRAFO</t>
  </si>
  <si>
    <t>TEMPO DE RECORRÊNCIA</t>
  </si>
  <si>
    <t>LOCALIZAÇÃO</t>
  </si>
  <si>
    <t>DISPOSITIVO DE DRENAGEM</t>
  </si>
  <si>
    <t>VPA-05</t>
  </si>
  <si>
    <t>VPA-06</t>
  </si>
  <si>
    <t>- 1,00 x 0,50</t>
  </si>
  <si>
    <t>VPA-07</t>
  </si>
  <si>
    <t>- 1,50 x 1,00</t>
  </si>
  <si>
    <t>VPA-08</t>
  </si>
  <si>
    <t>VPA-09</t>
  </si>
  <si>
    <t>VPA-10</t>
  </si>
  <si>
    <t>MFC-09</t>
  </si>
  <si>
    <t>DCD-02</t>
  </si>
  <si>
    <t>DCD-04</t>
  </si>
  <si>
    <t>- ESCADA</t>
  </si>
  <si>
    <t>DAD-02</t>
  </si>
  <si>
    <t>DAD-04</t>
  </si>
  <si>
    <t>- 2,50 x 1,20</t>
  </si>
  <si>
    <t>PLUVIO 2.1</t>
  </si>
  <si>
    <t>- 0,50 x 0,12</t>
  </si>
  <si>
    <t>- 1,50 x 0,50</t>
  </si>
  <si>
    <t>DCD-06</t>
  </si>
  <si>
    <t>PLANILHA:</t>
  </si>
  <si>
    <t>OBSERVAÇÕES</t>
  </si>
  <si>
    <t>SCG-01</t>
  </si>
  <si>
    <t>SCG-02</t>
  </si>
  <si>
    <t>ESTUDO HIDROLÓGICO E DIMENSIONAMENTO HIDRÁULICO DA DRENAGEM LONGITUDINAL</t>
  </si>
  <si>
    <t>SRC-29</t>
  </si>
  <si>
    <t>LÂMINA DE ÁGUA</t>
  </si>
  <si>
    <t>DAD-06</t>
  </si>
  <si>
    <t>CONTRATADO</t>
  </si>
  <si>
    <t>K</t>
  </si>
  <si>
    <t>c</t>
  </si>
  <si>
    <t>CRÍTICO</t>
  </si>
  <si>
    <t>COMPR.</t>
  </si>
  <si>
    <t>COTA</t>
  </si>
  <si>
    <t>MONTANTE</t>
  </si>
  <si>
    <t xml:space="preserve">COTA </t>
  </si>
  <si>
    <t>JUSANTE</t>
  </si>
  <si>
    <t>LARGURA</t>
  </si>
  <si>
    <t>IMPLUVIO</t>
  </si>
  <si>
    <t>IDENTIF.</t>
  </si>
  <si>
    <t>DA</t>
  </si>
  <si>
    <t>STC-09</t>
  </si>
  <si>
    <t>STC-10</t>
  </si>
  <si>
    <t>STC-11</t>
  </si>
  <si>
    <t>STC-12</t>
  </si>
  <si>
    <t>STC-13</t>
  </si>
  <si>
    <t>STC-14</t>
  </si>
  <si>
    <t>STC-15</t>
  </si>
  <si>
    <t>STC-16</t>
  </si>
  <si>
    <t>STC-17</t>
  </si>
  <si>
    <t>STC-18</t>
  </si>
  <si>
    <t>STC-19</t>
  </si>
  <si>
    <t>STC-20</t>
  </si>
  <si>
    <t>STC-21</t>
  </si>
  <si>
    <t>STC-22</t>
  </si>
  <si>
    <t>STC-23</t>
  </si>
  <si>
    <t>STC-24</t>
  </si>
  <si>
    <t>STC-25</t>
  </si>
  <si>
    <t>STC-26</t>
  </si>
  <si>
    <t>STC-27</t>
  </si>
  <si>
    <t>STC-28</t>
  </si>
  <si>
    <t>STC-29</t>
  </si>
  <si>
    <t>STC-30</t>
  </si>
  <si>
    <t>STC-31</t>
  </si>
  <si>
    <t>STC-32</t>
  </si>
  <si>
    <t>STC-33</t>
  </si>
  <si>
    <t>STC-34</t>
  </si>
  <si>
    <t>STC-35</t>
  </si>
  <si>
    <t>STC-36</t>
  </si>
  <si>
    <t>STC-37</t>
  </si>
  <si>
    <t>STC-38</t>
  </si>
  <si>
    <t>STC-39</t>
  </si>
  <si>
    <t>STC-40</t>
  </si>
  <si>
    <t>STC-41</t>
  </si>
  <si>
    <t>STC-42</t>
  </si>
  <si>
    <t>STC-44</t>
  </si>
  <si>
    <t>STC-43</t>
  </si>
  <si>
    <t>STC-45</t>
  </si>
  <si>
    <t>STC-46</t>
  </si>
  <si>
    <t>STC-47</t>
  </si>
  <si>
    <t>STC-48</t>
  </si>
  <si>
    <t>STC-49</t>
  </si>
  <si>
    <t>z</t>
  </si>
  <si>
    <t>Sarjeta</t>
  </si>
  <si>
    <t>I (m)</t>
  </si>
  <si>
    <t>d (m)</t>
  </si>
  <si>
    <t>CRITÉRIO</t>
  </si>
  <si>
    <t>d</t>
  </si>
  <si>
    <t>y</t>
  </si>
  <si>
    <t>critério</t>
  </si>
  <si>
    <t>sigma</t>
  </si>
  <si>
    <t>CPRM</t>
  </si>
  <si>
    <t xml:space="preserve">i (mm/h)= </t>
  </si>
  <si>
    <t>Parâmetros IDF Plúvio 2.1 - Itaperuna RJ</t>
  </si>
  <si>
    <t>S</t>
  </si>
  <si>
    <t>f(y)</t>
  </si>
  <si>
    <t>VALETA</t>
  </si>
  <si>
    <t>V-01</t>
  </si>
  <si>
    <t>V-02</t>
  </si>
  <si>
    <t>V-03</t>
  </si>
  <si>
    <t>V-04</t>
  </si>
  <si>
    <t>V-05</t>
  </si>
  <si>
    <t>V-06</t>
  </si>
  <si>
    <t>V-07</t>
  </si>
  <si>
    <t>V-08</t>
  </si>
  <si>
    <t>V-09</t>
  </si>
  <si>
    <t>V-10</t>
  </si>
  <si>
    <t>V-11</t>
  </si>
  <si>
    <t>V-12</t>
  </si>
  <si>
    <t>V-13</t>
  </si>
  <si>
    <t>BSTC-01</t>
  </si>
  <si>
    <t>CONSTANTE K</t>
  </si>
  <si>
    <t xml:space="preserve"> ÂNGULO TETA</t>
  </si>
  <si>
    <t>y/D</t>
  </si>
  <si>
    <t>BSTC 40</t>
  </si>
  <si>
    <t>BSTC 60</t>
  </si>
  <si>
    <t>BSTC 80</t>
  </si>
  <si>
    <t>BSTC 100</t>
  </si>
  <si>
    <t>VAZÃO CALCULADA</t>
  </si>
  <si>
    <t>BSTC-02</t>
  </si>
  <si>
    <t>BSTC-03</t>
  </si>
  <si>
    <t>BSTC-04</t>
  </si>
  <si>
    <t>BSTC-05</t>
  </si>
  <si>
    <t>BSTC-06</t>
  </si>
  <si>
    <t>BSTC-07</t>
  </si>
  <si>
    <t>BSTC 120</t>
  </si>
  <si>
    <t>BSTC 150</t>
  </si>
  <si>
    <t>BSTC-08</t>
  </si>
  <si>
    <t>BSTC-09</t>
  </si>
  <si>
    <t>TOTAL FINAL DE VALETAS</t>
  </si>
  <si>
    <t>TOTAL FINAL DE CAIXAS COLETORA</t>
  </si>
  <si>
    <t>PARA TUBO DE400/600MM</t>
  </si>
  <si>
    <t>5 UNID.</t>
  </si>
  <si>
    <t>PARA TUBO DE 800MM</t>
  </si>
  <si>
    <t>2 UNID.</t>
  </si>
  <si>
    <t>PARA TUBO DE 1000MM</t>
  </si>
  <si>
    <t>1 UNID.</t>
  </si>
  <si>
    <t>PARA TUBO DE 1200MM</t>
  </si>
  <si>
    <t>VPCG 160-30</t>
  </si>
  <si>
    <t>VPCG 120-30</t>
  </si>
  <si>
    <t>VPCC 160-30</t>
  </si>
  <si>
    <t>VPAG 120-30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</si>
</sst>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#,##0.000"/>
    <numFmt numFmtId="166" formatCode="0.000"/>
    <numFmt numFmtId="167" formatCode="&quot;Tr =&quot;\ 0\ &quot;anos&quot;"/>
    <numFmt numFmtId="168" formatCode="0.00000"/>
    <numFmt numFmtId="169" formatCode="dd/mm/yy;@"/>
    <numFmt numFmtId="170" formatCode="0&quot; ANOS&quot;"/>
    <numFmt numFmtId="171" formatCode="0.0000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i/>
      <sz val="14"/>
      <name val="Arial"/>
      <family val="2"/>
    </font>
    <font>
      <sz val="7"/>
      <name val="Palatino Linotype"/>
      <family val="1"/>
    </font>
    <font>
      <sz val="10"/>
      <color indexed="50"/>
      <name val="Arial"/>
      <family val="2"/>
    </font>
    <font>
      <i/>
      <sz val="8"/>
      <name val="Arial"/>
      <family val="2"/>
    </font>
    <font>
      <sz val="10"/>
      <color rgb="FFFF0000"/>
      <name val="Arial"/>
      <family val="2"/>
    </font>
    <font>
      <b/>
      <sz val="7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7">
    <xf numFmtId="0" fontId="0" fillId="0" borderId="0" xfId="0"/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5" fillId="0" borderId="0" xfId="0" applyFont="1"/>
    <xf numFmtId="0" fontId="9" fillId="0" borderId="0" xfId="0" applyFont="1" applyAlignment="1">
      <alignment horizontal="left" indent="1"/>
    </xf>
    <xf numFmtId="164" fontId="9" fillId="0" borderId="3" xfId="0" applyNumberFormat="1" applyFont="1" applyBorder="1" applyAlignment="1">
      <alignment horizontal="center"/>
    </xf>
    <xf numFmtId="168" fontId="9" fillId="0" borderId="3" xfId="0" applyNumberFormat="1" applyFont="1" applyBorder="1" applyAlignment="1">
      <alignment horizontal="center"/>
    </xf>
    <xf numFmtId="2" fontId="9" fillId="0" borderId="3" xfId="0" applyNumberFormat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0" fillId="0" borderId="5" xfId="0" applyFont="1" applyBorder="1" applyAlignment="1">
      <alignment horizontal="center"/>
    </xf>
    <xf numFmtId="0" fontId="10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7" fillId="0" borderId="0" xfId="0" applyFont="1"/>
    <xf numFmtId="0" fontId="3" fillId="0" borderId="0" xfId="0" applyFont="1" applyAlignment="1">
      <alignment horizontal="right"/>
    </xf>
    <xf numFmtId="0" fontId="4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quotePrefix="1" applyFont="1"/>
    <xf numFmtId="2" fontId="9" fillId="0" borderId="10" xfId="0" applyNumberFormat="1" applyFont="1" applyBorder="1" applyAlignment="1">
      <alignment horizontal="center"/>
    </xf>
    <xf numFmtId="2" fontId="9" fillId="0" borderId="11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166" fontId="9" fillId="0" borderId="3" xfId="0" applyNumberFormat="1" applyFont="1" applyBorder="1" applyAlignment="1">
      <alignment horizontal="center"/>
    </xf>
    <xf numFmtId="0" fontId="9" fillId="0" borderId="9" xfId="0" applyFont="1" applyBorder="1" applyAlignment="1">
      <alignment horizontal="righ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center"/>
    </xf>
    <xf numFmtId="166" fontId="9" fillId="0" borderId="0" xfId="0" applyNumberFormat="1" applyFont="1" applyAlignment="1">
      <alignment horizontal="center"/>
    </xf>
    <xf numFmtId="2" fontId="9" fillId="0" borderId="0" xfId="0" applyNumberFormat="1" applyFont="1"/>
    <xf numFmtId="9" fontId="9" fillId="0" borderId="0" xfId="1" applyFont="1" applyFill="1"/>
    <xf numFmtId="0" fontId="3" fillId="0" borderId="12" xfId="0" applyFont="1" applyBorder="1"/>
    <xf numFmtId="0" fontId="3" fillId="0" borderId="13" xfId="0" applyFont="1" applyBorder="1"/>
    <xf numFmtId="0" fontId="9" fillId="0" borderId="13" xfId="0" applyFont="1" applyBorder="1"/>
    <xf numFmtId="0" fontId="3" fillId="0" borderId="14" xfId="0" applyFont="1" applyBorder="1"/>
    <xf numFmtId="0" fontId="3" fillId="0" borderId="1" xfId="0" applyFont="1" applyBorder="1" applyAlignment="1">
      <alignment horizontal="left"/>
    </xf>
    <xf numFmtId="0" fontId="3" fillId="0" borderId="4" xfId="0" applyFont="1" applyBorder="1"/>
    <xf numFmtId="0" fontId="9" fillId="0" borderId="4" xfId="0" applyFont="1" applyBorder="1"/>
    <xf numFmtId="0" fontId="9" fillId="0" borderId="5" xfId="0" applyFont="1" applyBorder="1"/>
    <xf numFmtId="0" fontId="9" fillId="0" borderId="7" xfId="0" applyFont="1" applyBorder="1"/>
    <xf numFmtId="0" fontId="9" fillId="0" borderId="15" xfId="0" applyFont="1" applyBorder="1"/>
    <xf numFmtId="0" fontId="9" fillId="0" borderId="2" xfId="0" applyFont="1" applyBorder="1"/>
    <xf numFmtId="0" fontId="16" fillId="0" borderId="0" xfId="0" applyFont="1" applyAlignment="1">
      <alignment horizontal="center"/>
    </xf>
    <xf numFmtId="1" fontId="10" fillId="0" borderId="5" xfId="0" quotePrefix="1" applyNumberFormat="1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9" fillId="0" borderId="0" xfId="0" applyFont="1" applyAlignment="1">
      <alignment horizontal="left" vertical="center" indent="1"/>
    </xf>
    <xf numFmtId="0" fontId="7" fillId="0" borderId="0" xfId="0" applyFont="1" applyAlignment="1">
      <alignment vertical="center"/>
    </xf>
    <xf numFmtId="0" fontId="9" fillId="0" borderId="6" xfId="0" applyFont="1" applyBorder="1"/>
    <xf numFmtId="169" fontId="13" fillId="0" borderId="4" xfId="0" applyNumberFormat="1" applyFont="1" applyBorder="1"/>
    <xf numFmtId="0" fontId="9" fillId="0" borderId="8" xfId="0" applyFont="1" applyBorder="1"/>
    <xf numFmtId="0" fontId="9" fillId="0" borderId="14" xfId="0" applyFont="1" applyBorder="1"/>
    <xf numFmtId="0" fontId="2" fillId="0" borderId="13" xfId="0" applyFont="1" applyBorder="1"/>
    <xf numFmtId="0" fontId="1" fillId="0" borderId="9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2" fillId="0" borderId="12" xfId="0" applyFont="1" applyBorder="1"/>
    <xf numFmtId="2" fontId="9" fillId="0" borderId="0" xfId="0" applyNumberFormat="1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15" fillId="0" borderId="15" xfId="0" applyFont="1" applyBorder="1" applyAlignment="1">
      <alignment horizontal="center" vertical="top"/>
    </xf>
    <xf numFmtId="2" fontId="1" fillId="2" borderId="3" xfId="0" applyNumberFormat="1" applyFont="1" applyFill="1" applyBorder="1" applyAlignment="1">
      <alignment horizontal="center"/>
    </xf>
    <xf numFmtId="166" fontId="1" fillId="2" borderId="3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164" fontId="9" fillId="0" borderId="9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164" fontId="18" fillId="2" borderId="9" xfId="0" applyNumberFormat="1" applyFont="1" applyFill="1" applyBorder="1" applyAlignment="1">
      <alignment horizontal="center"/>
    </xf>
    <xf numFmtId="168" fontId="9" fillId="2" borderId="3" xfId="0" applyNumberFormat="1" applyFont="1" applyFill="1" applyBorder="1" applyAlignment="1">
      <alignment horizontal="center"/>
    </xf>
    <xf numFmtId="166" fontId="18" fillId="2" borderId="3" xfId="0" applyNumberFormat="1" applyFont="1" applyFill="1" applyBorder="1" applyAlignment="1">
      <alignment horizontal="center"/>
    </xf>
    <xf numFmtId="0" fontId="2" fillId="4" borderId="0" xfId="0" applyFont="1" applyFill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11" fillId="5" borderId="0" xfId="0" applyFont="1" applyFill="1" applyAlignment="1">
      <alignment horizontal="center" vertical="top"/>
    </xf>
    <xf numFmtId="0" fontId="10" fillId="3" borderId="0" xfId="0" applyFont="1" applyFill="1"/>
    <xf numFmtId="166" fontId="9" fillId="0" borderId="11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43" fontId="11" fillId="0" borderId="0" xfId="2" applyFont="1" applyFill="1" applyBorder="1" applyAlignment="1">
      <alignment horizontal="center"/>
    </xf>
    <xf numFmtId="43" fontId="10" fillId="0" borderId="0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10" fillId="0" borderId="0" xfId="0" quotePrefix="1" applyNumberFormat="1" applyFont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171" fontId="18" fillId="2" borderId="3" xfId="0" applyNumberFormat="1" applyFont="1" applyFill="1" applyBorder="1" applyAlignment="1">
      <alignment horizontal="center"/>
    </xf>
    <xf numFmtId="0" fontId="1" fillId="0" borderId="0" xfId="0" applyFont="1"/>
    <xf numFmtId="0" fontId="10" fillId="0" borderId="0" xfId="0" applyFont="1"/>
    <xf numFmtId="0" fontId="9" fillId="2" borderId="3" xfId="0" applyFont="1" applyFill="1" applyBorder="1" applyAlignment="1">
      <alignment horizontal="center"/>
    </xf>
    <xf numFmtId="0" fontId="9" fillId="2" borderId="0" xfId="0" applyFont="1" applyFill="1"/>
    <xf numFmtId="0" fontId="9" fillId="2" borderId="0" xfId="0" quotePrefix="1" applyFont="1" applyFill="1"/>
    <xf numFmtId="0" fontId="1" fillId="2" borderId="3" xfId="0" applyFont="1" applyFill="1" applyBorder="1" applyAlignment="1">
      <alignment horizontal="center"/>
    </xf>
    <xf numFmtId="0" fontId="10" fillId="3" borderId="16" xfId="0" applyFont="1" applyFill="1" applyBorder="1"/>
    <xf numFmtId="0" fontId="10" fillId="3" borderId="17" xfId="0" applyFont="1" applyFill="1" applyBorder="1"/>
    <xf numFmtId="0" fontId="9" fillId="0" borderId="17" xfId="0" applyFont="1" applyBorder="1"/>
    <xf numFmtId="0" fontId="9" fillId="0" borderId="18" xfId="0" applyFont="1" applyBorder="1"/>
    <xf numFmtId="0" fontId="11" fillId="5" borderId="19" xfId="0" applyFont="1" applyFill="1" applyBorder="1" applyAlignment="1">
      <alignment horizontal="center" vertical="top"/>
    </xf>
    <xf numFmtId="0" fontId="11" fillId="5" borderId="0" xfId="0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20" xfId="0" applyFont="1" applyBorder="1"/>
    <xf numFmtId="0" fontId="2" fillId="4" borderId="21" xfId="0" applyFont="1" applyFill="1" applyBorder="1" applyAlignment="1">
      <alignment horizontal="center" vertical="top"/>
    </xf>
    <xf numFmtId="0" fontId="2" fillId="4" borderId="22" xfId="0" applyFont="1" applyFill="1" applyBorder="1" applyAlignment="1">
      <alignment horizontal="center" vertical="top"/>
    </xf>
    <xf numFmtId="0" fontId="9" fillId="0" borderId="22" xfId="0" applyFont="1" applyBorder="1"/>
    <xf numFmtId="0" fontId="9" fillId="0" borderId="23" xfId="0" applyFont="1" applyBorder="1"/>
    <xf numFmtId="0" fontId="2" fillId="6" borderId="10" xfId="0" applyFont="1" applyFill="1" applyBorder="1"/>
    <xf numFmtId="166" fontId="9" fillId="6" borderId="3" xfId="0" applyNumberFormat="1" applyFont="1" applyFill="1" applyBorder="1" applyAlignment="1">
      <alignment horizontal="center"/>
    </xf>
    <xf numFmtId="2" fontId="9" fillId="6" borderId="3" xfId="0" applyNumberFormat="1" applyFont="1" applyFill="1" applyBorder="1" applyAlignment="1">
      <alignment horizontal="center"/>
    </xf>
    <xf numFmtId="0" fontId="9" fillId="0" borderId="9" xfId="0" applyFont="1" applyBorder="1"/>
    <xf numFmtId="0" fontId="9" fillId="0" borderId="10" xfId="0" applyFont="1" applyBorder="1"/>
    <xf numFmtId="0" fontId="2" fillId="4" borderId="1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Continuous"/>
    </xf>
    <xf numFmtId="0" fontId="3" fillId="4" borderId="6" xfId="0" applyFont="1" applyFill="1" applyBorder="1" applyAlignment="1">
      <alignment horizontal="centerContinuous"/>
    </xf>
    <xf numFmtId="0" fontId="2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Continuous"/>
    </xf>
    <xf numFmtId="0" fontId="4" fillId="4" borderId="8" xfId="0" applyFont="1" applyFill="1" applyBorder="1" applyAlignment="1">
      <alignment horizontal="centerContinuous"/>
    </xf>
    <xf numFmtId="165" fontId="4" fillId="4" borderId="7" xfId="0" applyNumberFormat="1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Continuous"/>
    </xf>
    <xf numFmtId="167" fontId="11" fillId="4" borderId="1" xfId="0" applyNumberFormat="1" applyFont="1" applyFill="1" applyBorder="1" applyAlignment="1">
      <alignment horizontal="center"/>
    </xf>
    <xf numFmtId="43" fontId="11" fillId="4" borderId="1" xfId="2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 vertical="center" wrapText="1"/>
    </xf>
    <xf numFmtId="43" fontId="10" fillId="4" borderId="2" xfId="2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9" fillId="4" borderId="2" xfId="0" applyFont="1" applyFill="1" applyBorder="1" applyAlignment="1">
      <alignment horizontal="center"/>
    </xf>
    <xf numFmtId="0" fontId="11" fillId="0" borderId="10" xfId="0" applyFont="1" applyBorder="1"/>
    <xf numFmtId="164" fontId="10" fillId="0" borderId="3" xfId="0" applyNumberFormat="1" applyFont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/>
    </xf>
    <xf numFmtId="0" fontId="3" fillId="4" borderId="0" xfId="0" applyFont="1" applyFill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166" fontId="1" fillId="0" borderId="5" xfId="0" applyNumberFormat="1" applyFont="1" applyBorder="1" applyAlignment="1">
      <alignment horizontal="center"/>
    </xf>
    <xf numFmtId="2" fontId="1" fillId="7" borderId="11" xfId="0" applyNumberFormat="1" applyFont="1" applyFill="1" applyBorder="1" applyAlignment="1">
      <alignment horizontal="center"/>
    </xf>
    <xf numFmtId="166" fontId="9" fillId="7" borderId="11" xfId="0" applyNumberFormat="1" applyFont="1" applyFill="1" applyBorder="1" applyAlignment="1">
      <alignment horizontal="center"/>
    </xf>
    <xf numFmtId="2" fontId="9" fillId="7" borderId="3" xfId="0" applyNumberFormat="1" applyFont="1" applyFill="1" applyBorder="1" applyAlignment="1">
      <alignment horizontal="center"/>
    </xf>
    <xf numFmtId="166" fontId="9" fillId="7" borderId="3" xfId="0" applyNumberFormat="1" applyFont="1" applyFill="1" applyBorder="1" applyAlignment="1">
      <alignment horizontal="center"/>
    </xf>
    <xf numFmtId="2" fontId="1" fillId="7" borderId="3" xfId="0" applyNumberFormat="1" applyFont="1" applyFill="1" applyBorder="1" applyAlignment="1">
      <alignment horizontal="center"/>
    </xf>
    <xf numFmtId="166" fontId="1" fillId="7" borderId="3" xfId="0" applyNumberFormat="1" applyFont="1" applyFill="1" applyBorder="1" applyAlignment="1">
      <alignment horizontal="center"/>
    </xf>
    <xf numFmtId="164" fontId="1" fillId="7" borderId="3" xfId="0" applyNumberFormat="1" applyFont="1" applyFill="1" applyBorder="1" applyAlignment="1">
      <alignment horizontal="center"/>
    </xf>
    <xf numFmtId="164" fontId="9" fillId="7" borderId="3" xfId="0" applyNumberFormat="1" applyFont="1" applyFill="1" applyBorder="1" applyAlignment="1">
      <alignment horizontal="center"/>
    </xf>
    <xf numFmtId="164" fontId="10" fillId="7" borderId="3" xfId="0" applyNumberFormat="1" applyFont="1" applyFill="1" applyBorder="1" applyAlignment="1">
      <alignment horizontal="center"/>
    </xf>
    <xf numFmtId="168" fontId="9" fillId="7" borderId="3" xfId="0" applyNumberFormat="1" applyFont="1" applyFill="1" applyBorder="1" applyAlignment="1">
      <alignment horizontal="center"/>
    </xf>
    <xf numFmtId="166" fontId="18" fillId="7" borderId="3" xfId="0" applyNumberFormat="1" applyFont="1" applyFill="1" applyBorder="1" applyAlignment="1">
      <alignment horizontal="center"/>
    </xf>
    <xf numFmtId="171" fontId="18" fillId="7" borderId="3" xfId="0" applyNumberFormat="1" applyFont="1" applyFill="1" applyBorder="1" applyAlignment="1">
      <alignment horizontal="center"/>
    </xf>
    <xf numFmtId="164" fontId="18" fillId="7" borderId="9" xfId="0" applyNumberFormat="1" applyFont="1" applyFill="1" applyBorder="1" applyAlignment="1">
      <alignment horizontal="center"/>
    </xf>
    <xf numFmtId="0" fontId="1" fillId="7" borderId="9" xfId="0" applyFont="1" applyFill="1" applyBorder="1" applyAlignment="1">
      <alignment horizontal="right"/>
    </xf>
    <xf numFmtId="0" fontId="9" fillId="7" borderId="11" xfId="0" applyFont="1" applyFill="1" applyBorder="1" applyAlignment="1">
      <alignment horizontal="center"/>
    </xf>
    <xf numFmtId="168" fontId="9" fillId="0" borderId="3" xfId="0" applyNumberFormat="1" applyFont="1" applyBorder="1"/>
    <xf numFmtId="2" fontId="9" fillId="0" borderId="3" xfId="0" applyNumberFormat="1" applyFont="1" applyBorder="1"/>
    <xf numFmtId="0" fontId="16" fillId="0" borderId="3" xfId="0" applyFont="1" applyBorder="1" applyAlignment="1">
      <alignment horizontal="center"/>
    </xf>
    <xf numFmtId="2" fontId="1" fillId="0" borderId="0" xfId="0" applyNumberFormat="1" applyFont="1"/>
    <xf numFmtId="168" fontId="1" fillId="0" borderId="3" xfId="0" applyNumberFormat="1" applyFont="1" applyBorder="1"/>
    <xf numFmtId="0" fontId="1" fillId="0" borderId="11" xfId="0" applyFont="1" applyBorder="1" applyAlignment="1">
      <alignment horizontal="center"/>
    </xf>
    <xf numFmtId="0" fontId="9" fillId="8" borderId="0" xfId="0" applyFont="1" applyFill="1"/>
    <xf numFmtId="0" fontId="7" fillId="0" borderId="3" xfId="0" applyFont="1" applyBorder="1" applyAlignment="1">
      <alignment horizontal="center" wrapText="1"/>
    </xf>
    <xf numFmtId="0" fontId="10" fillId="8" borderId="0" xfId="0" applyFont="1" applyFill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6" xfId="0" applyFont="1" applyBorder="1" applyAlignment="1">
      <alignment horizontal="center"/>
    </xf>
    <xf numFmtId="0" fontId="15" fillId="0" borderId="15" xfId="0" applyFont="1" applyBorder="1" applyAlignment="1">
      <alignment horizontal="center" vertical="top"/>
    </xf>
    <xf numFmtId="0" fontId="15" fillId="0" borderId="8" xfId="0" applyFont="1" applyBorder="1" applyAlignment="1">
      <alignment horizontal="center" vertical="top"/>
    </xf>
    <xf numFmtId="0" fontId="17" fillId="0" borderId="4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170" fontId="10" fillId="0" borderId="15" xfId="0" applyNumberFormat="1" applyFont="1" applyBorder="1" applyAlignment="1">
      <alignment horizontal="center"/>
    </xf>
    <xf numFmtId="170" fontId="10" fillId="0" borderId="8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3">
    <cellStyle name="Normal" xfId="0" builtinId="0"/>
    <cellStyle name="Porcentagem" xfId="1" builtinId="5"/>
    <cellStyle name="Vírgula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9</xdr:col>
      <xdr:colOff>113877</xdr:colOff>
      <xdr:row>1</xdr:row>
      <xdr:rowOff>209551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AD2AEC6-9FF4-4934-BE81-DA9A946F4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874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BL63"/>
  <sheetViews>
    <sheetView tabSelected="1" view="pageBreakPreview" topLeftCell="H37" zoomScale="85" zoomScaleNormal="100" zoomScaleSheetLayoutView="85" workbookViewId="0">
      <pane xSplit="1" topLeftCell="O1" activePane="topRight" state="frozen"/>
      <selection activeCell="H22" sqref="H22"/>
      <selection pane="topRight" activeCell="W58" sqref="W58"/>
    </sheetView>
  </sheetViews>
  <sheetFormatPr defaultRowHeight="12.75" x14ac:dyDescent="0.2"/>
  <cols>
    <col min="1" max="1" width="5" style="21" hidden="1" customWidth="1"/>
    <col min="2" max="2" width="2.7109375" style="21" hidden="1" customWidth="1"/>
    <col min="3" max="3" width="5.7109375" style="21" hidden="1" customWidth="1"/>
    <col min="4" max="4" width="4.28515625" style="21" hidden="1" customWidth="1"/>
    <col min="5" max="5" width="5" style="21" hidden="1" customWidth="1"/>
    <col min="6" max="6" width="2.85546875" style="21" hidden="1" customWidth="1"/>
    <col min="7" max="7" width="5.7109375" style="21" hidden="1" customWidth="1"/>
    <col min="8" max="8" width="10.42578125" style="21" customWidth="1"/>
    <col min="9" max="9" width="10.140625" style="21" customWidth="1"/>
    <col min="10" max="10" width="11.42578125" style="21" customWidth="1"/>
    <col min="11" max="12" width="9.140625" style="21" hidden="1" customWidth="1"/>
    <col min="13" max="13" width="9.140625" style="21" customWidth="1"/>
    <col min="14" max="15" width="8.85546875" style="21" customWidth="1"/>
    <col min="16" max="16" width="6.42578125" style="21" customWidth="1"/>
    <col min="17" max="17" width="9.28515625" style="21" customWidth="1"/>
    <col min="18" max="18" width="8.140625" style="21" customWidth="1"/>
    <col min="19" max="19" width="9.140625" style="21" customWidth="1"/>
    <col min="20" max="20" width="10.140625" style="21" customWidth="1"/>
    <col min="21" max="21" width="9.28515625" style="21" customWidth="1"/>
    <col min="22" max="22" width="10.7109375" style="21" customWidth="1"/>
    <col min="23" max="24" width="9.28515625" style="21" customWidth="1"/>
    <col min="25" max="25" width="10" style="21" customWidth="1"/>
    <col min="26" max="26" width="10.7109375" style="21" customWidth="1"/>
    <col min="27" max="27" width="10" style="21" customWidth="1"/>
    <col min="28" max="28" width="10" style="21" hidden="1" customWidth="1"/>
    <col min="29" max="29" width="8.42578125" style="21" customWidth="1"/>
    <col min="30" max="30" width="9.28515625" style="21" customWidth="1"/>
    <col min="31" max="31" width="11" style="21" hidden="1" customWidth="1"/>
    <col min="32" max="32" width="13.42578125" style="21" customWidth="1"/>
    <col min="33" max="33" width="14" style="21" customWidth="1"/>
    <col min="34" max="34" width="10" style="21" customWidth="1"/>
    <col min="35" max="35" width="8.5703125" style="21" customWidth="1"/>
    <col min="36" max="37" width="9.140625" style="21"/>
    <col min="38" max="38" width="11.42578125" style="21" customWidth="1"/>
    <col min="39" max="40" width="7.85546875" style="21" customWidth="1"/>
    <col min="41" max="43" width="7.140625" style="21" customWidth="1"/>
    <col min="44" max="44" width="7.7109375" style="21" customWidth="1"/>
    <col min="45" max="45" width="5" style="21" customWidth="1"/>
    <col min="46" max="46" width="8.42578125" style="21" customWidth="1"/>
    <col min="47" max="47" width="11.28515625" style="94" bestFit="1" customWidth="1"/>
    <col min="48" max="48" width="12.85546875" style="21" customWidth="1"/>
    <col min="49" max="49" width="13.85546875" style="21" bestFit="1" customWidth="1"/>
    <col min="50" max="50" width="7.140625" style="21" customWidth="1"/>
    <col min="51" max="51" width="3.140625" style="21" bestFit="1" customWidth="1"/>
    <col min="52" max="52" width="4.85546875" style="21" bestFit="1" customWidth="1"/>
    <col min="53" max="54" width="7.140625" style="21" customWidth="1"/>
    <col min="55" max="55" width="8.42578125" style="21" customWidth="1"/>
    <col min="56" max="62" width="7.140625" style="21" customWidth="1"/>
    <col min="63" max="63" width="5.7109375" style="21" customWidth="1"/>
    <col min="64" max="16384" width="9.140625" style="21"/>
  </cols>
  <sheetData>
    <row r="1" spans="1:64" ht="16.5" customHeight="1" x14ac:dyDescent="0.2">
      <c r="V1" s="82" t="s">
        <v>285</v>
      </c>
      <c r="W1" s="82"/>
      <c r="X1" s="82"/>
      <c r="Y1" s="82"/>
      <c r="AJ1" s="100" t="s">
        <v>283</v>
      </c>
      <c r="AK1" s="101"/>
      <c r="AL1" s="101"/>
      <c r="AM1" s="101"/>
      <c r="AN1" s="101"/>
      <c r="AO1" s="102"/>
      <c r="AP1" s="102"/>
      <c r="AQ1" s="102"/>
      <c r="AR1" s="102"/>
      <c r="AS1" s="103"/>
    </row>
    <row r="2" spans="1:64" ht="18.75" x14ac:dyDescent="0.25">
      <c r="A2" s="5" t="s">
        <v>40</v>
      </c>
      <c r="B2" s="5"/>
      <c r="D2" s="3"/>
      <c r="E2" s="3"/>
      <c r="F2" s="4"/>
      <c r="G2" s="4"/>
      <c r="H2" s="4"/>
      <c r="I2" s="4"/>
      <c r="J2" s="4"/>
      <c r="V2" s="81" t="s">
        <v>221</v>
      </c>
      <c r="W2" s="81" t="s">
        <v>1</v>
      </c>
      <c r="X2" s="81" t="s">
        <v>110</v>
      </c>
      <c r="Y2" s="81" t="s">
        <v>222</v>
      </c>
      <c r="AJ2" s="104" t="s">
        <v>1</v>
      </c>
      <c r="AK2" s="81" t="s">
        <v>110</v>
      </c>
      <c r="AL2" s="81" t="s">
        <v>222</v>
      </c>
      <c r="AM2" s="81" t="s">
        <v>279</v>
      </c>
      <c r="AN2" s="81" t="s">
        <v>282</v>
      </c>
      <c r="AQ2" s="105" t="s">
        <v>284</v>
      </c>
      <c r="AR2" s="106">
        <f>(($AJ$3*LN($X$45)+$AK$3)*LN((R11/60)+($AN$3/60))+$AL$3*LN($X$45)+$AM$3)/(R11/60)</f>
        <v>175.97656133689554</v>
      </c>
      <c r="AS2" s="107"/>
    </row>
    <row r="3" spans="1:64" ht="22.5" customHeight="1" thickBot="1" x14ac:dyDescent="0.25">
      <c r="A3" s="48" t="s">
        <v>212</v>
      </c>
      <c r="B3" s="15"/>
      <c r="C3" s="16"/>
      <c r="D3" s="9"/>
      <c r="F3" s="17"/>
      <c r="G3" s="17"/>
      <c r="H3" s="49" t="s">
        <v>216</v>
      </c>
      <c r="J3" s="17"/>
      <c r="K3" s="17"/>
      <c r="L3" s="17"/>
      <c r="M3" s="17"/>
      <c r="N3" s="9"/>
      <c r="O3" s="9"/>
      <c r="P3" s="9"/>
      <c r="Q3" s="18"/>
      <c r="R3" s="18"/>
      <c r="S3" s="10"/>
      <c r="V3" s="79">
        <v>4999.8819999999996</v>
      </c>
      <c r="W3" s="79">
        <v>0.19600000000000001</v>
      </c>
      <c r="X3" s="79">
        <v>34.462000000000003</v>
      </c>
      <c r="Y3" s="79">
        <v>0.98599999999999999</v>
      </c>
      <c r="AJ3" s="108">
        <v>7.3272000000000004</v>
      </c>
      <c r="AK3" s="109">
        <v>12.680300000000001</v>
      </c>
      <c r="AL3" s="109">
        <v>16.048200000000001</v>
      </c>
      <c r="AM3" s="109">
        <v>27.845500000000001</v>
      </c>
      <c r="AN3" s="109">
        <v>6</v>
      </c>
      <c r="AO3" s="110"/>
      <c r="AP3" s="110"/>
      <c r="AQ3" s="110"/>
      <c r="AR3" s="110"/>
      <c r="AS3" s="111"/>
    </row>
    <row r="4" spans="1:64" ht="18.75" customHeight="1" x14ac:dyDescent="0.2">
      <c r="A4" s="179" t="s">
        <v>192</v>
      </c>
      <c r="B4" s="179"/>
      <c r="C4" s="179"/>
      <c r="D4" s="179"/>
      <c r="E4" s="179"/>
      <c r="F4" s="179"/>
      <c r="G4" s="179"/>
      <c r="H4" s="179"/>
      <c r="I4" s="179"/>
      <c r="J4" s="179"/>
      <c r="K4" s="180" t="s">
        <v>25</v>
      </c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 t="s">
        <v>26</v>
      </c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85"/>
    </row>
    <row r="5" spans="1:64" ht="18.75" customHeight="1" x14ac:dyDescent="0.2">
      <c r="B5" s="116"/>
      <c r="C5" s="116"/>
      <c r="D5" s="116"/>
      <c r="E5" s="116"/>
      <c r="F5" s="116"/>
      <c r="G5" s="116"/>
      <c r="H5" s="115" t="s">
        <v>191</v>
      </c>
      <c r="I5" s="116"/>
      <c r="J5" s="116"/>
      <c r="K5" s="213" t="s">
        <v>2</v>
      </c>
      <c r="L5" s="181"/>
      <c r="M5" s="181"/>
      <c r="N5" s="181"/>
      <c r="O5" s="182"/>
      <c r="P5" s="181" t="s">
        <v>3</v>
      </c>
      <c r="Q5" s="181"/>
      <c r="R5" s="181"/>
      <c r="S5" s="181"/>
      <c r="T5" s="182"/>
      <c r="U5" s="142" t="s">
        <v>4</v>
      </c>
      <c r="V5" s="183" t="s">
        <v>27</v>
      </c>
      <c r="W5" s="185" t="s">
        <v>28</v>
      </c>
      <c r="X5" s="185" t="s">
        <v>29</v>
      </c>
      <c r="Y5" s="185" t="s">
        <v>30</v>
      </c>
      <c r="Z5" s="183" t="s">
        <v>310</v>
      </c>
      <c r="AA5" s="185" t="s">
        <v>31</v>
      </c>
      <c r="AB5" s="133"/>
      <c r="AC5" s="183" t="s">
        <v>218</v>
      </c>
      <c r="AD5" s="185" t="s">
        <v>32</v>
      </c>
      <c r="AE5" s="72" t="s">
        <v>224</v>
      </c>
      <c r="AF5" s="187" t="s">
        <v>41</v>
      </c>
      <c r="AG5" s="188"/>
      <c r="AH5" s="189"/>
      <c r="AI5" s="80"/>
    </row>
    <row r="6" spans="1:64" ht="15" customHeight="1" x14ac:dyDescent="0.2">
      <c r="A6" s="187" t="s">
        <v>0</v>
      </c>
      <c r="B6" s="188"/>
      <c r="C6" s="188"/>
      <c r="D6" s="188"/>
      <c r="E6" s="188"/>
      <c r="F6" s="188"/>
      <c r="G6" s="189"/>
      <c r="H6" s="117" t="s">
        <v>231</v>
      </c>
      <c r="I6" s="117" t="s">
        <v>225</v>
      </c>
      <c r="J6" s="117" t="s">
        <v>227</v>
      </c>
      <c r="K6" s="118" t="s">
        <v>5</v>
      </c>
      <c r="L6" s="119" t="s">
        <v>6</v>
      </c>
      <c r="M6" s="118" t="s">
        <v>5</v>
      </c>
      <c r="N6" s="120" t="s">
        <v>6</v>
      </c>
      <c r="O6" s="121" t="s">
        <v>229</v>
      </c>
      <c r="P6" s="122" t="s">
        <v>7</v>
      </c>
      <c r="Q6" s="123" t="s">
        <v>6</v>
      </c>
      <c r="R6" s="123" t="s">
        <v>8</v>
      </c>
      <c r="S6" s="123" t="s">
        <v>9</v>
      </c>
      <c r="T6" s="123" t="s">
        <v>4</v>
      </c>
      <c r="U6" s="143" t="s">
        <v>10</v>
      </c>
      <c r="V6" s="184"/>
      <c r="W6" s="186"/>
      <c r="X6" s="186"/>
      <c r="Y6" s="186"/>
      <c r="Z6" s="186"/>
      <c r="AA6" s="186"/>
      <c r="AB6" s="134"/>
      <c r="AC6" s="186"/>
      <c r="AD6" s="186"/>
      <c r="AE6" s="73" t="s">
        <v>223</v>
      </c>
      <c r="AF6" s="193"/>
      <c r="AG6" s="194"/>
      <c r="AH6" s="195"/>
      <c r="AI6" s="80"/>
    </row>
    <row r="7" spans="1:64" ht="15" customHeight="1" x14ac:dyDescent="0.2">
      <c r="A7" s="190"/>
      <c r="B7" s="191"/>
      <c r="C7" s="191"/>
      <c r="D7" s="191"/>
      <c r="E7" s="191"/>
      <c r="F7" s="191"/>
      <c r="G7" s="192"/>
      <c r="H7" s="124" t="s">
        <v>232</v>
      </c>
      <c r="I7" s="124" t="s">
        <v>226</v>
      </c>
      <c r="J7" s="124" t="s">
        <v>228</v>
      </c>
      <c r="K7" s="119" t="s">
        <v>11</v>
      </c>
      <c r="L7" s="119" t="s">
        <v>12</v>
      </c>
      <c r="M7" s="119" t="s">
        <v>11</v>
      </c>
      <c r="N7" s="125" t="s">
        <v>13</v>
      </c>
      <c r="O7" s="126" t="s">
        <v>230</v>
      </c>
      <c r="P7" s="127" t="s">
        <v>14</v>
      </c>
      <c r="Q7" s="123" t="s">
        <v>15</v>
      </c>
      <c r="R7" s="123" t="s">
        <v>16</v>
      </c>
      <c r="S7" s="123" t="s">
        <v>17</v>
      </c>
      <c r="T7" s="123" t="s">
        <v>18</v>
      </c>
      <c r="U7" s="143" t="s">
        <v>19</v>
      </c>
      <c r="V7" s="184"/>
      <c r="W7" s="186"/>
      <c r="X7" s="186"/>
      <c r="Y7" s="186"/>
      <c r="Z7" s="186"/>
      <c r="AA7" s="186"/>
      <c r="AB7" s="134"/>
      <c r="AC7" s="186"/>
      <c r="AD7" s="186"/>
      <c r="AE7" s="62"/>
      <c r="AF7" s="137" t="s">
        <v>43</v>
      </c>
      <c r="AG7" s="137" t="s">
        <v>44</v>
      </c>
      <c r="AH7" s="138" t="s">
        <v>45</v>
      </c>
      <c r="AI7" s="86"/>
    </row>
    <row r="8" spans="1:64" ht="15" customHeight="1" x14ac:dyDescent="0.2">
      <c r="A8" s="193"/>
      <c r="B8" s="194"/>
      <c r="C8" s="194"/>
      <c r="D8" s="194"/>
      <c r="E8" s="194"/>
      <c r="F8" s="194"/>
      <c r="G8" s="195"/>
      <c r="H8" s="141" t="s">
        <v>288</v>
      </c>
      <c r="I8" s="128" t="s">
        <v>38</v>
      </c>
      <c r="J8" s="128" t="s">
        <v>38</v>
      </c>
      <c r="K8" s="129" t="s">
        <v>12</v>
      </c>
      <c r="L8" s="130" t="s">
        <v>20</v>
      </c>
      <c r="M8" s="129" t="s">
        <v>13</v>
      </c>
      <c r="N8" s="130" t="s">
        <v>20</v>
      </c>
      <c r="O8" s="128" t="s">
        <v>38</v>
      </c>
      <c r="P8" s="131" t="s">
        <v>21</v>
      </c>
      <c r="Q8" s="128" t="s">
        <v>20</v>
      </c>
      <c r="R8" s="132" t="s">
        <v>22</v>
      </c>
      <c r="S8" s="128" t="s">
        <v>23</v>
      </c>
      <c r="T8" s="128" t="s">
        <v>24</v>
      </c>
      <c r="U8" s="144" t="s">
        <v>24</v>
      </c>
      <c r="V8" s="136" t="s">
        <v>36</v>
      </c>
      <c r="W8" s="135" t="s">
        <v>37</v>
      </c>
      <c r="X8" s="128" t="s">
        <v>38</v>
      </c>
      <c r="Y8" s="136" t="s">
        <v>38</v>
      </c>
      <c r="Z8" s="132" t="s">
        <v>24</v>
      </c>
      <c r="AA8" s="132" t="s">
        <v>39</v>
      </c>
      <c r="AB8" s="132"/>
      <c r="AC8" s="136" t="s">
        <v>38</v>
      </c>
      <c r="AD8" s="132" t="s">
        <v>22</v>
      </c>
      <c r="AE8" s="19" t="s">
        <v>38</v>
      </c>
      <c r="AF8" s="139"/>
      <c r="AG8" s="139" t="s">
        <v>47</v>
      </c>
      <c r="AH8" s="140" t="s">
        <v>47</v>
      </c>
      <c r="AI8" s="87"/>
      <c r="AJ8" s="88" t="s">
        <v>278</v>
      </c>
      <c r="AK8" s="94" t="s">
        <v>281</v>
      </c>
      <c r="AL8" s="20" t="s">
        <v>95</v>
      </c>
      <c r="AM8" s="20" t="s">
        <v>182</v>
      </c>
      <c r="AN8" s="20" t="s">
        <v>92</v>
      </c>
      <c r="AO8" s="57" t="s">
        <v>109</v>
      </c>
      <c r="AP8" s="57" t="s">
        <v>110</v>
      </c>
      <c r="AQ8" s="57" t="s">
        <v>111</v>
      </c>
      <c r="AR8" s="177" t="s">
        <v>274</v>
      </c>
      <c r="AS8" s="178"/>
      <c r="AT8" s="57"/>
      <c r="AU8" s="149" t="s">
        <v>303</v>
      </c>
      <c r="AV8" s="149" t="s">
        <v>304</v>
      </c>
      <c r="AW8" s="149" t="s">
        <v>218</v>
      </c>
      <c r="AX8" s="149" t="s">
        <v>305</v>
      </c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</row>
    <row r="9" spans="1:64" x14ac:dyDescent="0.2">
      <c r="A9" s="90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112"/>
      <c r="P9" s="91"/>
      <c r="Q9" s="91"/>
      <c r="R9" s="91"/>
      <c r="S9" s="91"/>
      <c r="T9" s="91"/>
      <c r="U9" s="145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2"/>
      <c r="AI9" s="88"/>
      <c r="AJ9" s="94" t="s">
        <v>279</v>
      </c>
      <c r="AK9" s="94" t="s">
        <v>280</v>
      </c>
      <c r="AL9" s="29"/>
      <c r="AM9" s="44"/>
      <c r="AN9" s="30"/>
      <c r="AO9" s="31"/>
      <c r="AP9" s="31"/>
      <c r="AQ9" s="31"/>
      <c r="AR9" s="31"/>
      <c r="AS9" s="31"/>
      <c r="AT9" s="31"/>
      <c r="AU9" s="171"/>
      <c r="AV9" s="31"/>
      <c r="AW9" s="148"/>
      <c r="AX9" s="31"/>
      <c r="AZ9" s="31"/>
      <c r="BA9" s="31"/>
      <c r="BC9" s="31"/>
      <c r="BD9" s="31"/>
      <c r="BE9" s="31"/>
      <c r="BF9" s="31"/>
      <c r="BG9" s="31"/>
      <c r="BH9" s="31"/>
      <c r="BI9" s="31"/>
      <c r="BJ9" s="31"/>
      <c r="BK9" s="32"/>
    </row>
    <row r="10" spans="1:64" ht="18.75" customHeight="1" x14ac:dyDescent="0.2">
      <c r="A10" s="58"/>
      <c r="B10" s="59"/>
      <c r="C10" s="23"/>
      <c r="D10" s="59"/>
      <c r="E10" s="59"/>
      <c r="F10" s="59"/>
      <c r="G10" s="24"/>
      <c r="H10" s="24"/>
      <c r="I10" s="24"/>
      <c r="J10" s="24"/>
      <c r="K10" s="8"/>
      <c r="L10" s="26"/>
      <c r="M10" s="8"/>
      <c r="N10" s="26"/>
      <c r="O10" s="113"/>
      <c r="P10" s="8"/>
      <c r="Q10" s="26"/>
      <c r="R10" s="6"/>
      <c r="S10" s="6"/>
      <c r="T10" s="6"/>
      <c r="U10" s="146"/>
      <c r="V10" s="7"/>
      <c r="X10" s="26"/>
      <c r="Y10" s="26"/>
      <c r="Z10" s="6"/>
      <c r="AA10" s="8"/>
      <c r="AB10" s="8"/>
      <c r="AC10" s="26"/>
      <c r="AD10" s="6"/>
      <c r="AE10" s="71"/>
      <c r="AF10" s="27"/>
      <c r="AG10" s="28"/>
      <c r="AH10" s="8"/>
      <c r="AI10" s="61"/>
      <c r="AL10" s="61"/>
      <c r="AM10" s="29"/>
      <c r="AN10" s="30"/>
      <c r="AO10" s="31"/>
      <c r="AP10" s="31"/>
      <c r="AQ10" s="31"/>
      <c r="AR10" s="31"/>
      <c r="AS10" s="31"/>
      <c r="AT10" s="31"/>
      <c r="AU10" s="171"/>
      <c r="AV10" s="31"/>
      <c r="AW10" s="148"/>
      <c r="AX10" s="31"/>
      <c r="AZ10" s="31"/>
      <c r="BA10" s="31"/>
      <c r="BC10" s="31"/>
      <c r="BD10" s="31"/>
      <c r="BE10" s="31"/>
      <c r="BF10" s="31"/>
      <c r="BG10" s="31"/>
      <c r="BH10" s="31"/>
      <c r="BI10" s="31"/>
      <c r="BJ10" s="31"/>
      <c r="BK10" s="32"/>
      <c r="BL10" s="31"/>
    </row>
    <row r="11" spans="1:64" ht="18.75" customHeight="1" x14ac:dyDescent="0.2">
      <c r="A11" s="58"/>
      <c r="B11" s="59"/>
      <c r="C11" s="23"/>
      <c r="D11" s="59"/>
      <c r="E11" s="59"/>
      <c r="F11" s="59"/>
      <c r="G11" s="24"/>
      <c r="H11" s="84" t="s">
        <v>289</v>
      </c>
      <c r="I11" s="83">
        <v>127.884</v>
      </c>
      <c r="J11" s="83">
        <v>126.565</v>
      </c>
      <c r="K11" s="8"/>
      <c r="L11" s="26"/>
      <c r="M11" s="8">
        <v>0.2</v>
      </c>
      <c r="N11" s="26">
        <v>0.56599999999999995</v>
      </c>
      <c r="O11" s="114">
        <v>100</v>
      </c>
      <c r="P11" s="66">
        <f>(K11*L11+M11*N11)/(L11+N11)</f>
        <v>0.2</v>
      </c>
      <c r="Q11" s="67">
        <f>L11+N11</f>
        <v>0.56599999999999995</v>
      </c>
      <c r="R11" s="68">
        <v>5</v>
      </c>
      <c r="S11" s="69">
        <f>($V$3*$X$45^$W$3)/(R11+$X$3)^$Y$3</f>
        <v>209.47257427000611</v>
      </c>
      <c r="T11" s="70">
        <f>P11*Q11*S11*2.77777777777778</f>
        <v>65.867487242679744</v>
      </c>
      <c r="U11" s="147">
        <f>T11</f>
        <v>65.867487242679744</v>
      </c>
      <c r="V11" s="77">
        <f>(I11-J11)/AH11</f>
        <v>3.4710526315789546E-2</v>
      </c>
      <c r="W11" s="78">
        <f>AP11*AC11+AR11*AC11^2</f>
        <v>6.4995309132320739E-2</v>
      </c>
      <c r="X11" s="78">
        <f>AP11+2*AC11*SQRT(1+AR11^2)</f>
        <v>0.86500788492053304</v>
      </c>
      <c r="Y11" s="93">
        <f>W11/X11</f>
        <v>7.5138400776880498E-2</v>
      </c>
      <c r="Z11" s="70">
        <f>W11*(1/AN11)*Y11^(2/3)*V11^(1/2)*1000</f>
        <v>71.873035953616935</v>
      </c>
      <c r="AA11" s="74">
        <f>(1/AN11)*Y11^(2/3)*V11^(1/2)</f>
        <v>1.1058188185134126</v>
      </c>
      <c r="AB11" s="74">
        <f xml:space="preserve"> (AP11 + AR11*AC11) * AC11 * ( ((AP11 + AR11*AC11) * AC11) / (AP11 + 2*AC11*SQRT(1 + AR11^2)) )^(2/3) - (U11/1000)*AN11*V11^(-1/2)</f>
        <v>9.6703757471251588E-4</v>
      </c>
      <c r="AC11" s="78">
        <v>9.3694436247606566E-2</v>
      </c>
      <c r="AD11" s="70">
        <f>AH11/AA11/60</f>
        <v>0.57272793945100653</v>
      </c>
      <c r="AE11" s="76">
        <f>((Z11/1000)/(S11/3600000))</f>
        <v>1235.2114845330843</v>
      </c>
      <c r="AF11" s="55" t="s">
        <v>331</v>
      </c>
      <c r="AG11" s="28" t="str">
        <f>INDEX(TIPOS!K:K,MATCH($AF11,TIPOS!$A:$A,0))</f>
        <v>- 0,60 x 0,30</v>
      </c>
      <c r="AH11" s="8">
        <v>38</v>
      </c>
      <c r="AI11" s="61">
        <f>IF(A11&lt;E11,(((E11*20)+G11)-((A11*20)+C11)),(((A11*20)+C11)-((E11*20)+G11)))</f>
        <v>0</v>
      </c>
      <c r="AJ11" s="21" t="str">
        <f>IF(AE11&gt;=AH11,"OK","REVER")</f>
        <v>OK</v>
      </c>
      <c r="AK11" s="21" t="str">
        <f>IF(AC11&lt;=AQ11,"OK","REVER")</f>
        <v>OK</v>
      </c>
      <c r="AL11" s="29" t="str">
        <f>INDEX(TIPOS!D:D,MATCH($AF11,TIPOS!$A:$A,0))</f>
        <v>Trapezoidal</v>
      </c>
      <c r="AM11" s="44" t="str">
        <f>INDEX(TIPOS!B:B,MATCH($AF11,TIPOS!$A:$A,0))</f>
        <v>Grama</v>
      </c>
      <c r="AN11" s="30">
        <f>INDEX(TIPOS!C:C,MATCH($AF11,TIPOS!$A:$A,0))</f>
        <v>0.03</v>
      </c>
      <c r="AO11" s="31">
        <f>INDEX(TIPOS!E:E,MATCH($AF11,TIPOS!$A:$A,0))</f>
        <v>1.2</v>
      </c>
      <c r="AP11" s="31">
        <f>INDEX(TIPOS!F:F,MATCH($AF11,TIPOS!$A:$A,0))</f>
        <v>0.6</v>
      </c>
      <c r="AQ11" s="31">
        <f>INDEX(TIPOS!G:G,MATCH($AF11,TIPOS!$A:$A,0))</f>
        <v>0.3</v>
      </c>
      <c r="AR11" s="31">
        <f>INDEX(TIPOS!H:H,MATCH($AF11,TIPOS!$A:$A,0))</f>
        <v>1</v>
      </c>
      <c r="AS11" s="31">
        <f>INDEX(TIPOS!I:I,MATCH($AF11,TIPOS!$A:$A,0))</f>
        <v>1</v>
      </c>
      <c r="AT11" s="31"/>
      <c r="AU11" s="171"/>
      <c r="AV11" s="31"/>
      <c r="AW11" s="31"/>
      <c r="AX11" s="31"/>
      <c r="AZ11" s="31"/>
      <c r="BA11" s="31"/>
      <c r="BC11" s="31"/>
      <c r="BD11" s="31"/>
      <c r="BE11" s="31"/>
      <c r="BF11" s="31"/>
      <c r="BG11" s="31"/>
      <c r="BH11" s="31"/>
      <c r="BI11" s="31"/>
      <c r="BJ11" s="31"/>
      <c r="BK11" s="32"/>
      <c r="BL11" s="31"/>
    </row>
    <row r="12" spans="1:64" ht="18.75" customHeight="1" x14ac:dyDescent="0.2">
      <c r="A12" s="59"/>
      <c r="B12" s="59"/>
      <c r="C12" s="23"/>
      <c r="D12" s="59"/>
      <c r="E12" s="59"/>
      <c r="F12" s="59"/>
      <c r="G12" s="24"/>
      <c r="H12" s="153" t="s">
        <v>302</v>
      </c>
      <c r="I12" s="154"/>
      <c r="J12" s="154"/>
      <c r="K12" s="155"/>
      <c r="L12" s="156"/>
      <c r="M12" s="155"/>
      <c r="N12" s="156"/>
      <c r="O12" s="155"/>
      <c r="P12" s="157"/>
      <c r="Q12" s="158"/>
      <c r="R12" s="159"/>
      <c r="S12" s="159"/>
      <c r="T12" s="160"/>
      <c r="U12" s="161">
        <f>U11</f>
        <v>65.867487242679744</v>
      </c>
      <c r="V12" s="162">
        <v>5.0000000000000001E-3</v>
      </c>
      <c r="W12" s="163">
        <f>((AG12^2)/8)*(AV12-SIN(AV12))</f>
        <v>6.1931470224210673E-2</v>
      </c>
      <c r="X12" s="163">
        <f>(AG12/2)*AV12</f>
        <v>0.65711308530724744</v>
      </c>
      <c r="Y12" s="164">
        <f>W12/X12</f>
        <v>9.4247811539551488E-2</v>
      </c>
      <c r="Z12" s="161">
        <f>(1/AN12)*W12*Y12^(2/3)*V12^(1/2)*1000</f>
        <v>69.764404201926354</v>
      </c>
      <c r="AA12" s="155">
        <f>(1/AN12)*Y12^(2/3)*V12^(1/2)</f>
        <v>1.1264774427178634</v>
      </c>
      <c r="AB12" s="155"/>
      <c r="AC12" s="163">
        <f>AW12</f>
        <v>0.16263632388663696</v>
      </c>
      <c r="AD12" s="156">
        <f>AH12/AA12/60</f>
        <v>0.19233999585816189</v>
      </c>
      <c r="AE12" s="165"/>
      <c r="AF12" s="166" t="s">
        <v>307</v>
      </c>
      <c r="AG12" s="167">
        <v>0.6</v>
      </c>
      <c r="AH12" s="155">
        <v>13</v>
      </c>
      <c r="AI12" s="61"/>
      <c r="AL12" s="25" t="str">
        <f>INDEX(TIPOS!D:D,MATCH($AF12,TIPOS!$A:$A,0))</f>
        <v>Circular</v>
      </c>
      <c r="AM12" s="170" t="str">
        <f>INDEX(TIPOS!B:B,MATCH($AF12,TIPOS!$A:$A,0))</f>
        <v>Concreto</v>
      </c>
      <c r="AN12" s="26">
        <f>INDEX(TIPOS!C:C,MATCH($AF12,TIPOS!$A:$A,0))</f>
        <v>1.2999999999999999E-2</v>
      </c>
      <c r="AO12" s="31"/>
      <c r="AP12" s="31"/>
      <c r="AQ12" s="169">
        <f>INDEX(TIPOS!G:G,MATCH($AF12,TIPOS!$A:$A,0))</f>
        <v>0.51</v>
      </c>
      <c r="AR12" s="31"/>
      <c r="AS12" s="31"/>
      <c r="AT12" s="31"/>
      <c r="AU12" s="172">
        <f>U12/1000*AN12*AG12^(-8/3)*V12^(-1/2)</f>
        <v>4.7285295975133854E-2</v>
      </c>
      <c r="AV12" s="168">
        <f>((3*PI())/2)*SQRT(1-SQRT(1-SQRT(PI()*AU12)))</f>
        <v>2.1903769510241582</v>
      </c>
      <c r="AW12" s="169">
        <f>(AG12/2)*(1-COS(AV12/2))</f>
        <v>0.16263632388663696</v>
      </c>
      <c r="AX12" s="169">
        <f>AW12/AG12</f>
        <v>0.2710605398110616</v>
      </c>
      <c r="AZ12" s="31"/>
      <c r="BA12" s="31"/>
      <c r="BC12" s="31"/>
      <c r="BD12" s="31"/>
      <c r="BE12" s="31"/>
      <c r="BF12" s="31"/>
      <c r="BG12" s="31"/>
      <c r="BH12" s="31"/>
      <c r="BI12" s="31"/>
      <c r="BJ12" s="31"/>
      <c r="BK12" s="32"/>
      <c r="BL12" s="31"/>
    </row>
    <row r="13" spans="1:64" ht="18.75" customHeight="1" x14ac:dyDescent="0.2">
      <c r="A13" s="59"/>
      <c r="B13" s="59"/>
      <c r="C13" s="23"/>
      <c r="D13" s="59"/>
      <c r="E13" s="59"/>
      <c r="F13" s="59"/>
      <c r="G13" s="24"/>
      <c r="H13" s="24"/>
      <c r="I13" s="24"/>
      <c r="J13" s="24"/>
      <c r="K13" s="8"/>
      <c r="L13" s="26"/>
      <c r="M13" s="8"/>
      <c r="N13" s="26"/>
      <c r="O13" s="113"/>
      <c r="P13" s="8"/>
      <c r="Q13" s="26"/>
      <c r="R13" s="6"/>
      <c r="S13" s="6"/>
      <c r="T13" s="6"/>
      <c r="U13" s="146"/>
      <c r="V13" s="7"/>
      <c r="W13" s="8"/>
      <c r="X13" s="8"/>
      <c r="Y13" s="26"/>
      <c r="Z13" s="6"/>
      <c r="AA13" s="8"/>
      <c r="AB13" s="8"/>
      <c r="AC13" s="8"/>
      <c r="AD13" s="6"/>
      <c r="AE13" s="71"/>
      <c r="AF13" s="27"/>
      <c r="AG13" s="28"/>
      <c r="AH13" s="8"/>
      <c r="AI13" s="61"/>
      <c r="AL13" s="29"/>
      <c r="AM13" s="29"/>
      <c r="AN13" s="30"/>
      <c r="AO13" s="31"/>
      <c r="AP13" s="31"/>
      <c r="AQ13" s="31"/>
      <c r="AR13" s="31"/>
      <c r="AS13" s="31"/>
      <c r="AT13" s="31"/>
      <c r="AU13" s="171"/>
      <c r="AV13" s="31"/>
      <c r="AW13" s="31"/>
      <c r="AX13" s="31"/>
      <c r="AZ13" s="31"/>
      <c r="BA13" s="31"/>
      <c r="BC13" s="31"/>
      <c r="BD13" s="31"/>
      <c r="BE13" s="31"/>
      <c r="BF13" s="31"/>
      <c r="BG13" s="31"/>
      <c r="BH13" s="31"/>
      <c r="BI13" s="31"/>
      <c r="BJ13" s="31"/>
      <c r="BK13" s="32"/>
      <c r="BL13" s="31"/>
    </row>
    <row r="14" spans="1:64" ht="18.75" customHeight="1" x14ac:dyDescent="0.2">
      <c r="A14" s="59"/>
      <c r="B14" s="59"/>
      <c r="C14" s="23"/>
      <c r="D14" s="59"/>
      <c r="E14" s="59"/>
      <c r="F14" s="59"/>
      <c r="G14" s="24"/>
      <c r="H14" s="84" t="s">
        <v>290</v>
      </c>
      <c r="I14" s="83">
        <v>129.864</v>
      </c>
      <c r="J14" s="83">
        <v>127.884</v>
      </c>
      <c r="K14" s="8"/>
      <c r="L14" s="26"/>
      <c r="M14" s="8">
        <f>$M$11</f>
        <v>0.2</v>
      </c>
      <c r="N14" s="26">
        <v>1.3480000000000001</v>
      </c>
      <c r="O14" s="114">
        <v>100</v>
      </c>
      <c r="P14" s="66">
        <f>(K14*L14+M14*N14)/(L14+N14)</f>
        <v>0.19999999999999998</v>
      </c>
      <c r="Q14" s="67">
        <f>L14+N14</f>
        <v>1.3480000000000001</v>
      </c>
      <c r="R14" s="68">
        <v>5</v>
      </c>
      <c r="S14" s="69">
        <f>($V$3*$X$45^$W$3)/(R14+$X$3)^$Y$3</f>
        <v>209.47257427000611</v>
      </c>
      <c r="T14" s="70">
        <f t="shared" ref="T14" si="0">P14*Q14*S14*2.77777777777778</f>
        <v>156.87168339776025</v>
      </c>
      <c r="U14" s="147">
        <f>T14</f>
        <v>156.87168339776025</v>
      </c>
      <c r="V14" s="77">
        <f>(I14-J14)/AH14</f>
        <v>1.4142857142857171E-2</v>
      </c>
      <c r="W14" s="78">
        <f t="shared" ref="W14" si="1">AP14*AC14+AR14*AC14^2</f>
        <v>0.16241073359156677</v>
      </c>
      <c r="X14" s="78">
        <f t="shared" ref="X14" si="2">AP14+2*AC14*SQRT(1+AR14^2)</f>
        <v>1.402180081288029</v>
      </c>
      <c r="Y14" s="93">
        <f>W14/X14</f>
        <v>0.11582730047226021</v>
      </c>
      <c r="Z14" s="70">
        <f>W14*(1/AN14)*Y14^(2/3)*V14^(1/2)*1000</f>
        <v>152.98047567553698</v>
      </c>
      <c r="AA14" s="74">
        <f>(1/AN14)*Y14^(2/3)*V14^(1/2)</f>
        <v>0.94193574705631733</v>
      </c>
      <c r="AB14" s="74">
        <f xml:space="preserve"> (AP14 + AR14*AC14) * AC14 * ( ((AP14 + AR14*AC14) * AC14) / (AP14 + 2*AC14*SQRT(1 + AR14^2)) )^(2/3) - (U14/1000)*AN14*V14^(-1/2)</f>
        <v>-9.8160574738273554E-4</v>
      </c>
      <c r="AC14" s="78">
        <v>0.14219213136846107</v>
      </c>
      <c r="AD14" s="70">
        <f>AH14/AA14/60</f>
        <v>2.4771682576283265</v>
      </c>
      <c r="AE14" s="76">
        <f>((Z14/1000)/(S14/3600000))</f>
        <v>2629.1256234911843</v>
      </c>
      <c r="AF14" s="55" t="s">
        <v>330</v>
      </c>
      <c r="AG14" s="28" t="str">
        <f>INDEX(TIPOS!K:K,MATCH($AF14,TIPOS!$A:$A,0))</f>
        <v>- 1,00 x 0,30</v>
      </c>
      <c r="AH14" s="8">
        <v>140</v>
      </c>
      <c r="AI14" s="61">
        <f>IF(A14&lt;E14,(((E14*20)+G14)-((A14*20)+C14)),(((A14*20)+C14)-((E14*20)+G14)))</f>
        <v>0</v>
      </c>
      <c r="AJ14" s="21" t="str">
        <f t="shared" ref="AJ14" si="3">IF(AE14&gt;=AH14,"OK","REVER")</f>
        <v>OK</v>
      </c>
      <c r="AK14" s="21" t="str">
        <f t="shared" ref="AK14" si="4">IF(AC14&lt;=AQ14,"OK","REVER")</f>
        <v>OK</v>
      </c>
      <c r="AL14" s="29" t="str">
        <f>INDEX(TIPOS!D:D,MATCH($AF14,TIPOS!$A:$A,0))</f>
        <v>Trapezoidal</v>
      </c>
      <c r="AM14" s="44" t="str">
        <f>INDEX(TIPOS!B:B,MATCH($AF14,TIPOS!$A:$A,0))</f>
        <v>Grama</v>
      </c>
      <c r="AN14" s="30">
        <f>INDEX(TIPOS!C:C,MATCH($AF14,TIPOS!$A:$A,0))</f>
        <v>0.03</v>
      </c>
      <c r="AO14" s="31">
        <f>INDEX(TIPOS!E:E,MATCH($AF14,TIPOS!$A:$A,0))</f>
        <v>1.6</v>
      </c>
      <c r="AP14" s="31">
        <f>INDEX(TIPOS!F:F,MATCH($AF14,TIPOS!$A:$A,0))</f>
        <v>1</v>
      </c>
      <c r="AQ14" s="31">
        <f>INDEX(TIPOS!G:G,MATCH($AF14,TIPOS!$A:$A,0))</f>
        <v>0.3</v>
      </c>
      <c r="AR14" s="31">
        <f>INDEX(TIPOS!H:H,MATCH($AF14,TIPOS!$A:$A,0))</f>
        <v>1.0000000000000002</v>
      </c>
      <c r="AS14" s="31">
        <f>INDEX(TIPOS!I:I,MATCH($AF14,TIPOS!$A:$A,0))</f>
        <v>1.0000000000000002</v>
      </c>
      <c r="AU14" s="171"/>
      <c r="AV14" s="31"/>
      <c r="AW14" s="31"/>
      <c r="AX14" s="31"/>
      <c r="AZ14" s="31"/>
      <c r="BA14" s="31"/>
      <c r="BC14" s="31"/>
      <c r="BD14" s="31"/>
      <c r="BE14" s="31"/>
      <c r="BF14" s="31"/>
      <c r="BG14" s="31"/>
      <c r="BH14" s="31"/>
      <c r="BI14" s="31"/>
      <c r="BJ14" s="31"/>
      <c r="BK14" s="32"/>
      <c r="BL14" s="31"/>
    </row>
    <row r="15" spans="1:64" ht="18.75" customHeight="1" x14ac:dyDescent="0.2">
      <c r="A15" s="59"/>
      <c r="B15" s="59"/>
      <c r="C15" s="23"/>
      <c r="D15" s="59"/>
      <c r="E15" s="59"/>
      <c r="F15" s="59"/>
      <c r="G15" s="24"/>
      <c r="H15" s="153" t="s">
        <v>311</v>
      </c>
      <c r="I15" s="154"/>
      <c r="J15" s="154"/>
      <c r="K15" s="155"/>
      <c r="L15" s="156"/>
      <c r="M15" s="155"/>
      <c r="N15" s="156"/>
      <c r="O15" s="155"/>
      <c r="P15" s="157"/>
      <c r="Q15" s="158"/>
      <c r="R15" s="159"/>
      <c r="S15" s="159"/>
      <c r="T15" s="160"/>
      <c r="U15" s="161">
        <f>U14</f>
        <v>156.87168339776025</v>
      </c>
      <c r="V15" s="162">
        <v>5.0000000000000001E-3</v>
      </c>
      <c r="W15" s="163">
        <f>((AG15^2)/8)*(AV15-SIN(AV15))</f>
        <v>0.11451693072826036</v>
      </c>
      <c r="X15" s="163">
        <f>(AG15/2)*AV15</f>
        <v>0.85228573327509782</v>
      </c>
      <c r="Y15" s="164">
        <f>W15/X15</f>
        <v>0.13436448160196643</v>
      </c>
      <c r="Z15" s="161">
        <f>(1/AN15)*W15*Y15^(2/3)*V15^(1/2)*1000</f>
        <v>163.40587620329376</v>
      </c>
      <c r="AA15" s="155">
        <f>(1/AN15)*Y15^(2/3)*V15^(1/2)</f>
        <v>1.4269145633237672</v>
      </c>
      <c r="AB15" s="155"/>
      <c r="AC15" s="163">
        <f>AW15</f>
        <v>0.25507360948460989</v>
      </c>
      <c r="AD15" s="156">
        <f>AH15/AA15/60</f>
        <v>0.12848234788934237</v>
      </c>
      <c r="AE15" s="165"/>
      <c r="AF15" s="166" t="s">
        <v>307</v>
      </c>
      <c r="AG15" s="167">
        <f>INDEX(TIPOS!K:K,MATCH($AF15,TIPOS!$A:$A,0))</f>
        <v>0.6</v>
      </c>
      <c r="AH15" s="155">
        <v>11</v>
      </c>
      <c r="AI15" s="61"/>
      <c r="AL15" s="25" t="str">
        <f>INDEX(TIPOS!D:D,MATCH($AF15,TIPOS!$A:$A,0))</f>
        <v>Circular</v>
      </c>
      <c r="AM15" s="170" t="str">
        <f>INDEX(TIPOS!B:B,MATCH($AF15,TIPOS!$A:$A,0))</f>
        <v>Concreto</v>
      </c>
      <c r="AN15" s="26">
        <f>INDEX(TIPOS!C:C,MATCH($AF15,TIPOS!$A:$A,0))</f>
        <v>1.2999999999999999E-2</v>
      </c>
      <c r="AO15" s="31"/>
      <c r="AP15" s="31"/>
      <c r="AQ15" s="169">
        <f>INDEX(TIPOS!G:G,MATCH($AF15,TIPOS!$A:$A,0))</f>
        <v>0.51</v>
      </c>
      <c r="AR15" s="31"/>
      <c r="AS15" s="31"/>
      <c r="AT15" s="31"/>
      <c r="AU15" s="172">
        <f>U15/1000*AN15*AG15^(-8/3)*V15^(-1/2)</f>
        <v>0.11261586391250963</v>
      </c>
      <c r="AV15" s="168">
        <f>((3*PI())/2)*SQRT(1-SQRT(1-SQRT(PI()*AU15)))</f>
        <v>2.840952444250326</v>
      </c>
      <c r="AW15" s="169">
        <f>(AG15/2)*(1-COS(AV15/2))</f>
        <v>0.25507360948460989</v>
      </c>
      <c r="AX15" s="169">
        <f>AW15/AG15</f>
        <v>0.42512268247434981</v>
      </c>
      <c r="AZ15" s="31"/>
      <c r="BA15" s="31"/>
      <c r="BC15" s="31"/>
      <c r="BD15" s="31"/>
      <c r="BE15" s="31"/>
      <c r="BF15" s="31"/>
      <c r="BG15" s="31"/>
      <c r="BH15" s="31"/>
      <c r="BI15" s="31"/>
      <c r="BJ15" s="31"/>
      <c r="BK15" s="32"/>
      <c r="BL15" s="31"/>
    </row>
    <row r="16" spans="1:64" ht="18.75" customHeight="1" x14ac:dyDescent="0.2">
      <c r="A16" s="58"/>
      <c r="B16" s="59"/>
      <c r="C16" s="23"/>
      <c r="D16" s="59"/>
      <c r="E16" s="59"/>
      <c r="F16" s="59"/>
      <c r="G16" s="24"/>
      <c r="H16" s="24"/>
      <c r="I16" s="24"/>
      <c r="J16" s="24"/>
      <c r="K16" s="8"/>
      <c r="L16" s="26"/>
      <c r="M16" s="8"/>
      <c r="N16" s="26"/>
      <c r="O16" s="113"/>
      <c r="P16" s="8"/>
      <c r="Q16" s="26"/>
      <c r="R16" s="6"/>
      <c r="S16" s="6"/>
      <c r="T16" s="6"/>
      <c r="U16" s="146"/>
      <c r="V16" s="7"/>
      <c r="W16" s="8"/>
      <c r="X16" s="8"/>
      <c r="Y16" s="26"/>
      <c r="Z16" s="6"/>
      <c r="AA16" s="8"/>
      <c r="AB16" s="8"/>
      <c r="AC16" s="8"/>
      <c r="AD16" s="6"/>
      <c r="AE16" s="71"/>
      <c r="AF16" s="27"/>
      <c r="AG16" s="28"/>
      <c r="AH16" s="8"/>
      <c r="AI16" s="61"/>
      <c r="AL16" s="29"/>
      <c r="AM16" s="29"/>
      <c r="AN16" s="30"/>
      <c r="AO16" s="31"/>
      <c r="AP16" s="31"/>
      <c r="AQ16" s="31"/>
      <c r="AR16" s="31"/>
      <c r="AS16" s="31"/>
      <c r="AT16" s="31"/>
      <c r="AU16" s="171"/>
      <c r="AV16" s="31"/>
      <c r="AW16" s="31"/>
      <c r="AX16" s="31"/>
      <c r="AZ16" s="31"/>
      <c r="BA16" s="31"/>
      <c r="BC16" s="31"/>
      <c r="BD16" s="31"/>
      <c r="BE16" s="31"/>
      <c r="BF16" s="31"/>
      <c r="BG16" s="31"/>
      <c r="BH16" s="31"/>
      <c r="BI16" s="31"/>
      <c r="BJ16" s="31"/>
      <c r="BK16" s="32"/>
      <c r="BL16" s="31"/>
    </row>
    <row r="17" spans="1:64" ht="18.75" customHeight="1" x14ac:dyDescent="0.2">
      <c r="A17" s="58"/>
      <c r="B17" s="59"/>
      <c r="C17" s="23"/>
      <c r="D17" s="59"/>
      <c r="E17" s="59"/>
      <c r="F17" s="59"/>
      <c r="G17" s="24"/>
      <c r="H17" s="84" t="s">
        <v>291</v>
      </c>
      <c r="I17" s="83">
        <v>129.86500000000001</v>
      </c>
      <c r="J17" s="83">
        <v>128.80600000000001</v>
      </c>
      <c r="K17" s="8"/>
      <c r="L17" s="26"/>
      <c r="M17" s="8">
        <f t="shared" ref="M17" si="5">$M$11</f>
        <v>0.2</v>
      </c>
      <c r="N17" s="26">
        <v>0.38</v>
      </c>
      <c r="O17" s="114">
        <v>100</v>
      </c>
      <c r="P17" s="66">
        <f t="shared" ref="P17" si="6">(K17*L17+M17*N17)/(L17+N17)</f>
        <v>0.20000000000000004</v>
      </c>
      <c r="Q17" s="67">
        <f t="shared" ref="Q17" si="7">L17+N17</f>
        <v>0.38</v>
      </c>
      <c r="R17" s="68">
        <v>5</v>
      </c>
      <c r="S17" s="69">
        <f>($V$3*$X$45^$W$3)/(R17+$X$3)^$Y$3</f>
        <v>209.47257427000611</v>
      </c>
      <c r="T17" s="70">
        <f t="shared" ref="T17" si="8">P17*Q17*S17*2.77777777777778</f>
        <v>44.221987901445772</v>
      </c>
      <c r="U17" s="147">
        <f t="shared" ref="U17" si="9">T17</f>
        <v>44.221987901445772</v>
      </c>
      <c r="V17" s="77">
        <f>(I17-J17)/AH17</f>
        <v>1.0085714285714262E-2</v>
      </c>
      <c r="W17" s="78">
        <f t="shared" ref="W17" si="10">AP17*AC17+AR17*AC17^2</f>
        <v>6.7420236930478133E-2</v>
      </c>
      <c r="X17" s="78">
        <f t="shared" ref="X17" si="11">AP17+2*AC17*SQRT(1+AR17^2)</f>
        <v>0.87368480825259742</v>
      </c>
      <c r="Y17" s="93">
        <f t="shared" ref="Y17" si="12">W17/X17</f>
        <v>7.7167688271152557E-2</v>
      </c>
      <c r="Z17" s="70">
        <f>W17*(1/AN17)*Y17^(2/3)*V17^(1/2)*1000</f>
        <v>40.908417255626979</v>
      </c>
      <c r="AA17" s="74">
        <f>(1/AN17)*Y17^(2/3)*V17^(1/2)</f>
        <v>0.60676762820947361</v>
      </c>
      <c r="AB17" s="74">
        <f xml:space="preserve"> (AP17 + AR17*AC17) * AC17 * ( ((AP17 + AR17*AC17) * AC17) / (AP17 + 2*AC17*SQRT(1 + AR17^2)) )^(2/3) - (U17/1000)*AN17*V17^(-1/2)</f>
        <v>-9.8983808213504512E-4</v>
      </c>
      <c r="AC17" s="78">
        <v>9.676219191157584E-2</v>
      </c>
      <c r="AD17" s="70">
        <f t="shared" ref="AD17" si="13">AH17/AA17/60</f>
        <v>2.8841354064390692</v>
      </c>
      <c r="AE17" s="76">
        <f>((Z17/1000)/(S17/3600000))</f>
        <v>703.05290625028817</v>
      </c>
      <c r="AF17" s="55" t="s">
        <v>331</v>
      </c>
      <c r="AG17" s="28" t="str">
        <f>INDEX(TIPOS!K:K,MATCH($AF17,TIPOS!$A:$A,0))</f>
        <v>- 0,60 x 0,30</v>
      </c>
      <c r="AH17" s="8">
        <v>105</v>
      </c>
      <c r="AI17" s="61">
        <f>IF(A17&lt;E17,(((E17*20)+G17)-((A17*20)+C17)),(((A17*20)+C17)-((E17*20)+G17)))</f>
        <v>0</v>
      </c>
      <c r="AJ17" s="21" t="str">
        <f t="shared" ref="AJ17" si="14">IF(AE17&gt;=AH17,"OK","REVER")</f>
        <v>OK</v>
      </c>
      <c r="AK17" s="21" t="str">
        <f t="shared" ref="AK17" si="15">IF(AC17&lt;=AQ17,"OK","REVER")</f>
        <v>OK</v>
      </c>
      <c r="AL17" s="29" t="str">
        <f>INDEX(TIPOS!D:D,MATCH($AF17,TIPOS!$A:$A,0))</f>
        <v>Trapezoidal</v>
      </c>
      <c r="AM17" s="44" t="str">
        <f>INDEX(TIPOS!B:B,MATCH($AF17,TIPOS!$A:$A,0))</f>
        <v>Grama</v>
      </c>
      <c r="AN17" s="30">
        <f>INDEX(TIPOS!C:C,MATCH($AF17,TIPOS!$A:$A,0))</f>
        <v>0.03</v>
      </c>
      <c r="AO17" s="31">
        <f>INDEX(TIPOS!E:E,MATCH($AF17,TIPOS!$A:$A,0))</f>
        <v>1.2</v>
      </c>
      <c r="AP17" s="31">
        <f>INDEX(TIPOS!F:F,MATCH($AF17,TIPOS!$A:$A,0))</f>
        <v>0.6</v>
      </c>
      <c r="AQ17" s="31">
        <f>INDEX(TIPOS!G:G,MATCH($AF17,TIPOS!$A:$A,0))</f>
        <v>0.3</v>
      </c>
      <c r="AR17" s="31">
        <f>INDEX(TIPOS!H:H,MATCH($AF17,TIPOS!$A:$A,0))</f>
        <v>1</v>
      </c>
      <c r="AS17" s="31">
        <f>INDEX(TIPOS!I:I,MATCH($AF17,TIPOS!$A:$A,0))</f>
        <v>1</v>
      </c>
      <c r="AT17" s="31"/>
      <c r="AU17" s="171"/>
      <c r="AV17" s="31"/>
      <c r="AW17" s="31"/>
      <c r="AX17" s="31"/>
      <c r="AZ17" s="31"/>
      <c r="BA17" s="31"/>
      <c r="BC17" s="31"/>
      <c r="BD17" s="31"/>
      <c r="BE17" s="31"/>
      <c r="BF17" s="31"/>
      <c r="BG17" s="31"/>
      <c r="BH17" s="31"/>
      <c r="BI17" s="31"/>
      <c r="BJ17" s="31"/>
      <c r="BK17" s="32"/>
      <c r="BL17" s="31"/>
    </row>
    <row r="18" spans="1:64" ht="18.75" customHeight="1" x14ac:dyDescent="0.2">
      <c r="A18" s="59"/>
      <c r="B18" s="59"/>
      <c r="C18" s="23"/>
      <c r="D18" s="59"/>
      <c r="E18" s="59"/>
      <c r="F18" s="59"/>
      <c r="G18" s="24"/>
      <c r="H18" s="153" t="s">
        <v>312</v>
      </c>
      <c r="I18" s="154"/>
      <c r="J18" s="154"/>
      <c r="K18" s="155"/>
      <c r="L18" s="156"/>
      <c r="M18" s="155"/>
      <c r="N18" s="156"/>
      <c r="O18" s="155"/>
      <c r="P18" s="157"/>
      <c r="Q18" s="158"/>
      <c r="R18" s="159"/>
      <c r="S18" s="159"/>
      <c r="T18" s="160"/>
      <c r="U18" s="161">
        <f>U17</f>
        <v>44.221987901445772</v>
      </c>
      <c r="V18" s="162">
        <v>5.0000000000000001E-3</v>
      </c>
      <c r="W18" s="163">
        <f>((AG18^2)/8)*(AV18-SIN(AV18))</f>
        <v>4.4692834625822943E-2</v>
      </c>
      <c r="X18" s="163">
        <f>(AG18/2)*AV18</f>
        <v>0.53600172800438883</v>
      </c>
      <c r="Y18" s="164">
        <f>W18/X18</f>
        <v>8.3381885338729714E-2</v>
      </c>
      <c r="Z18" s="161">
        <f>(1/AN18)*W18*Y18^(2/3)*V18^(1/2)*1000</f>
        <v>46.397440569143228</v>
      </c>
      <c r="AA18" s="155">
        <f>(1/AN18)*Y18^(2/3)*V18^(1/2)</f>
        <v>1.0381404750356871</v>
      </c>
      <c r="AB18" s="155"/>
      <c r="AC18" s="163">
        <f>AW18</f>
        <v>0.15425027953151529</v>
      </c>
      <c r="AD18" s="156">
        <f>AH18/AA18/60</f>
        <v>0.2087065015543475</v>
      </c>
      <c r="AE18" s="165"/>
      <c r="AF18" s="166" t="s">
        <v>307</v>
      </c>
      <c r="AG18" s="167">
        <v>0.4</v>
      </c>
      <c r="AH18" s="155">
        <v>13</v>
      </c>
      <c r="AI18" s="61"/>
      <c r="AL18" s="25" t="str">
        <f>INDEX(TIPOS!D:D,MATCH($AF18,TIPOS!$A:$A,0))</f>
        <v>Circular</v>
      </c>
      <c r="AM18" s="170" t="str">
        <f>INDEX(TIPOS!B:B,MATCH($AF18,TIPOS!$A:$A,0))</f>
        <v>Concreto</v>
      </c>
      <c r="AN18" s="26">
        <f>INDEX(TIPOS!C:C,MATCH($AF18,TIPOS!$A:$A,0))</f>
        <v>1.2999999999999999E-2</v>
      </c>
      <c r="AO18" s="31"/>
      <c r="AP18" s="31"/>
      <c r="AQ18" s="169">
        <f>INDEX(TIPOS!G:G,MATCH($AF18,TIPOS!$A:$A,0))</f>
        <v>0.51</v>
      </c>
      <c r="AR18" s="31"/>
      <c r="AS18" s="31"/>
      <c r="AT18" s="31"/>
      <c r="AU18" s="172">
        <f>U18/1000*AN18*AG18^(-8/3)*V18^(-1/2)</f>
        <v>9.3598732585717284E-2</v>
      </c>
      <c r="AV18" s="168">
        <f>((3*PI())/2)*SQRT(1-SQRT(1-SQRT(PI()*AU18)))</f>
        <v>2.6800086400219443</v>
      </c>
      <c r="AW18" s="169">
        <f>(AG18/2)*(1-COS(AV18/2))</f>
        <v>0.15425027953151529</v>
      </c>
      <c r="AX18" s="169">
        <f>AW18/AG18</f>
        <v>0.38562569882878822</v>
      </c>
      <c r="AZ18" s="31"/>
      <c r="BA18" s="31"/>
      <c r="BC18" s="31"/>
      <c r="BD18" s="31"/>
      <c r="BE18" s="31"/>
      <c r="BF18" s="31"/>
      <c r="BG18" s="31"/>
      <c r="BH18" s="31"/>
      <c r="BI18" s="31"/>
      <c r="BJ18" s="31"/>
      <c r="BK18" s="32"/>
      <c r="BL18" s="31"/>
    </row>
    <row r="19" spans="1:64" ht="18.75" customHeight="1" x14ac:dyDescent="0.2">
      <c r="A19" s="58"/>
      <c r="B19" s="59"/>
      <c r="C19" s="23"/>
      <c r="D19" s="59"/>
      <c r="E19" s="59"/>
      <c r="F19" s="59"/>
      <c r="G19" s="24"/>
      <c r="H19" s="24"/>
      <c r="I19" s="24"/>
      <c r="J19" s="24"/>
      <c r="K19" s="8"/>
      <c r="L19" s="26"/>
      <c r="M19" s="8"/>
      <c r="N19" s="26"/>
      <c r="O19" s="113"/>
      <c r="P19" s="8"/>
      <c r="Q19" s="26"/>
      <c r="R19" s="6"/>
      <c r="S19" s="6"/>
      <c r="T19" s="6"/>
      <c r="U19" s="146"/>
      <c r="V19" s="7"/>
      <c r="W19" s="8"/>
      <c r="X19" s="8"/>
      <c r="Y19" s="26"/>
      <c r="Z19" s="6"/>
      <c r="AA19" s="8"/>
      <c r="AB19" s="8"/>
      <c r="AC19" s="8"/>
      <c r="AD19" s="6"/>
      <c r="AE19" s="71"/>
      <c r="AF19" s="27"/>
      <c r="AG19" s="28"/>
      <c r="AH19" s="8"/>
      <c r="AI19" s="61"/>
      <c r="AL19" s="29"/>
      <c r="AM19" s="29"/>
      <c r="AN19" s="30"/>
      <c r="AO19" s="31"/>
      <c r="AP19" s="31"/>
      <c r="AQ19" s="31"/>
      <c r="AR19" s="31"/>
      <c r="AS19" s="31"/>
      <c r="AT19" s="31"/>
      <c r="AU19" s="171"/>
      <c r="AV19" s="31"/>
      <c r="AW19" s="31"/>
      <c r="AX19" s="31"/>
      <c r="AZ19" s="31"/>
      <c r="BA19" s="31"/>
      <c r="BC19" s="31"/>
      <c r="BD19" s="31"/>
      <c r="BE19" s="31"/>
      <c r="BF19" s="31"/>
      <c r="BG19" s="31"/>
      <c r="BH19" s="31"/>
      <c r="BI19" s="31"/>
      <c r="BJ19" s="31"/>
      <c r="BK19" s="32"/>
      <c r="BL19" s="31"/>
    </row>
    <row r="20" spans="1:64" ht="18.75" customHeight="1" x14ac:dyDescent="0.2">
      <c r="A20" s="58"/>
      <c r="B20" s="59"/>
      <c r="C20" s="23"/>
      <c r="D20" s="59"/>
      <c r="E20" s="59"/>
      <c r="F20" s="59"/>
      <c r="G20" s="24"/>
      <c r="H20" s="84" t="s">
        <v>292</v>
      </c>
      <c r="I20" s="83">
        <v>129.86500000000001</v>
      </c>
      <c r="J20" s="83">
        <v>127.96299999999999</v>
      </c>
      <c r="K20" s="8"/>
      <c r="L20" s="26"/>
      <c r="M20" s="8">
        <f t="shared" ref="M20" si="16">$M$11</f>
        <v>0.2</v>
      </c>
      <c r="N20" s="26">
        <v>0.20499999999999999</v>
      </c>
      <c r="O20" s="113">
        <v>100</v>
      </c>
      <c r="P20" s="66">
        <f t="shared" ref="P20" si="17">(K20*L20+M20*N20)/(L20+N20)</f>
        <v>0.2</v>
      </c>
      <c r="Q20" s="67">
        <f t="shared" ref="Q20" si="18">L20+N20</f>
        <v>0.20499999999999999</v>
      </c>
      <c r="R20" s="68">
        <v>5</v>
      </c>
      <c r="S20" s="69">
        <f>($V$3*$X$45^$W$3)/(R20+$X$3)^$Y$3</f>
        <v>209.47257427000611</v>
      </c>
      <c r="T20" s="70">
        <f t="shared" ref="T20" si="19">P20*Q20*S20*2.77777777777778</f>
        <v>23.856598736306271</v>
      </c>
      <c r="U20" s="147">
        <f t="shared" ref="U20" si="20">T20</f>
        <v>23.856598736306271</v>
      </c>
      <c r="V20" s="77">
        <f>(I20-J20)/AH20</f>
        <v>3.8040000000000303E-2</v>
      </c>
      <c r="W20" s="78">
        <f t="shared" ref="W20" si="21">AP20*AC20+AR20*AC20^2</f>
        <v>2.7340277314547752E-2</v>
      </c>
      <c r="X20" s="78">
        <f t="shared" ref="X20" si="22">AP20+2*AC20*SQRT(1+AR20^2)</f>
        <v>0.72034864448206826</v>
      </c>
      <c r="Y20" s="93">
        <f t="shared" ref="Y20" si="23">W20/X20</f>
        <v>3.7954228864004388E-2</v>
      </c>
      <c r="Z20" s="70">
        <f>W20*(1/AN20)*Y20^(2/3)*V20^(1/2)*1000</f>
        <v>20.074374848228608</v>
      </c>
      <c r="AA20" s="74">
        <f>(1/AN20)*Y20^(2/3)*V20^(1/2)</f>
        <v>0.73424181537277378</v>
      </c>
      <c r="AB20" s="74">
        <f xml:space="preserve"> (AP20 + AR20*AC20) * AC20 * ( ((AP20 + AR20*AC20) * AC20) / (AP20 + 2*AC20*SQRT(1 + AR20^2)) )^(2/3) - (U20/1000)*AN20*V20^(-1/2)</f>
        <v>-5.8176586276131219E-4</v>
      </c>
      <c r="AC20" s="78">
        <v>4.2549671309939738E-2</v>
      </c>
      <c r="AD20" s="70">
        <f t="shared" ref="AD20" si="24">AH20/AA20/60</f>
        <v>1.1349576064531968</v>
      </c>
      <c r="AE20" s="76">
        <f>((Z20/1000)/(S20/3600000))</f>
        <v>344.99862192208161</v>
      </c>
      <c r="AF20" s="55" t="s">
        <v>331</v>
      </c>
      <c r="AG20" s="28" t="str">
        <f>INDEX(TIPOS!K:K,MATCH($AF20,TIPOS!$A:$A,0))</f>
        <v>- 0,60 x 0,30</v>
      </c>
      <c r="AH20" s="8">
        <v>50</v>
      </c>
      <c r="AI20" s="61">
        <f>IF(A20&lt;E20,(((E20*20)+G20)-((A20*20)+C20)),(((A20*20)+C20)-((E20*20)+G20)))</f>
        <v>0</v>
      </c>
      <c r="AJ20" s="21" t="str">
        <f t="shared" ref="AJ20" si="25">IF(AE20&gt;=AH20,"OK","REVER")</f>
        <v>OK</v>
      </c>
      <c r="AK20" s="21" t="str">
        <f t="shared" ref="AK20" si="26">IF(AC20&lt;=AQ20,"OK","REVER")</f>
        <v>OK</v>
      </c>
      <c r="AL20" s="29" t="str">
        <f>INDEX(TIPOS!D:D,MATCH($AF20,TIPOS!$A:$A,0))</f>
        <v>Trapezoidal</v>
      </c>
      <c r="AM20" s="44" t="str">
        <f>INDEX(TIPOS!B:B,MATCH($AF20,TIPOS!$A:$A,0))</f>
        <v>Grama</v>
      </c>
      <c r="AN20" s="30">
        <f>INDEX(TIPOS!C:C,MATCH($AF20,TIPOS!$A:$A,0))</f>
        <v>0.03</v>
      </c>
      <c r="AO20" s="31">
        <f>INDEX(TIPOS!E:E,MATCH($AF20,TIPOS!$A:$A,0))</f>
        <v>1.2</v>
      </c>
      <c r="AP20" s="31">
        <f>INDEX(TIPOS!F:F,MATCH($AF20,TIPOS!$A:$A,0))</f>
        <v>0.6</v>
      </c>
      <c r="AQ20" s="31">
        <f>INDEX(TIPOS!G:G,MATCH($AF20,TIPOS!$A:$A,0))</f>
        <v>0.3</v>
      </c>
      <c r="AR20" s="31">
        <f>INDEX(TIPOS!H:H,MATCH($AF20,TIPOS!$A:$A,0))</f>
        <v>1</v>
      </c>
      <c r="AS20" s="31">
        <f>INDEX(TIPOS!I:I,MATCH($AF20,TIPOS!$A:$A,0))</f>
        <v>1</v>
      </c>
      <c r="AT20" s="31"/>
      <c r="AU20" s="171"/>
      <c r="AV20" s="31"/>
      <c r="AW20" s="31"/>
      <c r="AX20" s="31"/>
      <c r="AZ20" s="31"/>
      <c r="BA20" s="31"/>
      <c r="BC20" s="31"/>
      <c r="BD20" s="31"/>
      <c r="BE20" s="31"/>
      <c r="BF20" s="31"/>
      <c r="BG20" s="31"/>
      <c r="BH20" s="31"/>
      <c r="BI20" s="31"/>
      <c r="BJ20" s="31"/>
      <c r="BK20" s="32"/>
      <c r="BL20" s="31"/>
    </row>
    <row r="21" spans="1:64" ht="18.75" customHeight="1" x14ac:dyDescent="0.2">
      <c r="A21" s="59"/>
      <c r="B21" s="59"/>
      <c r="C21" s="23"/>
      <c r="D21" s="59"/>
      <c r="E21" s="59"/>
      <c r="F21" s="59"/>
      <c r="G21" s="24"/>
      <c r="H21" s="153" t="s">
        <v>313</v>
      </c>
      <c r="I21" s="154"/>
      <c r="J21" s="154"/>
      <c r="K21" s="155"/>
      <c r="L21" s="156"/>
      <c r="M21" s="155"/>
      <c r="N21" s="156"/>
      <c r="O21" s="155"/>
      <c r="P21" s="157"/>
      <c r="Q21" s="158"/>
      <c r="R21" s="159"/>
      <c r="S21" s="159"/>
      <c r="T21" s="160"/>
      <c r="U21" s="161">
        <f>U20</f>
        <v>23.856598736306271</v>
      </c>
      <c r="V21" s="162">
        <v>5.0000000000000001E-3</v>
      </c>
      <c r="W21" s="163">
        <f>((AG21^2)/8)*(AV21-SIN(AV21))</f>
        <v>2.8848190645920504E-2</v>
      </c>
      <c r="X21" s="163">
        <f>(AG21/2)*AV21</f>
        <v>0.4463582647115355</v>
      </c>
      <c r="Y21" s="164">
        <f>W21/X21</f>
        <v>6.4630125454412726E-2</v>
      </c>
      <c r="Z21" s="161">
        <f>(1/AN21)*W21*Y21^(2/3)*V21^(1/2)*1000</f>
        <v>25.270678075468684</v>
      </c>
      <c r="AA21" s="155">
        <f>(1/AN21)*Y21^(2/3)*V21^(1/2)</f>
        <v>0.87598832057227383</v>
      </c>
      <c r="AB21" s="155"/>
      <c r="AC21" s="163">
        <f>AW21</f>
        <v>0.11212538342139876</v>
      </c>
      <c r="AD21" s="156">
        <f>AH21/AA21/60</f>
        <v>0.28539193289321219</v>
      </c>
      <c r="AE21" s="165"/>
      <c r="AF21" s="166" t="s">
        <v>307</v>
      </c>
      <c r="AG21" s="167">
        <v>0.4</v>
      </c>
      <c r="AH21" s="155">
        <v>15</v>
      </c>
      <c r="AI21" s="61"/>
      <c r="AL21" s="25" t="str">
        <f>INDEX(TIPOS!D:D,MATCH($AF21,TIPOS!$A:$A,0))</f>
        <v>Circular</v>
      </c>
      <c r="AM21" s="170" t="str">
        <f>INDEX(TIPOS!B:B,MATCH($AF21,TIPOS!$A:$A,0))</f>
        <v>Concreto</v>
      </c>
      <c r="AN21" s="26">
        <f>INDEX(TIPOS!C:C,MATCH($AF21,TIPOS!$A:$A,0))</f>
        <v>1.2999999999999999E-2</v>
      </c>
      <c r="AO21" s="31"/>
      <c r="AP21" s="31"/>
      <c r="AQ21" s="169">
        <f>INDEX(TIPOS!G:G,MATCH($AF21,TIPOS!$A:$A,0))</f>
        <v>0.51</v>
      </c>
      <c r="AR21" s="31"/>
      <c r="AS21" s="31"/>
      <c r="AT21" s="31"/>
      <c r="AU21" s="172">
        <f>U21/1000*AN21*AG21^(-8/3)*V21^(-1/2)</f>
        <v>5.0494053105452748E-2</v>
      </c>
      <c r="AV21" s="168">
        <f>((3*PI())/2)*SQRT(1-SQRT(1-SQRT(PI()*AU21)))</f>
        <v>2.2317913235576774</v>
      </c>
      <c r="AW21" s="169">
        <f>(AG21/2)*(1-COS(AV21/2))</f>
        <v>0.11212538342139876</v>
      </c>
      <c r="AX21" s="169">
        <f>AW21/AG21</f>
        <v>0.28031345855349687</v>
      </c>
      <c r="AZ21" s="31"/>
      <c r="BA21" s="31"/>
      <c r="BC21" s="31"/>
      <c r="BD21" s="31"/>
      <c r="BE21" s="31"/>
      <c r="BF21" s="31"/>
      <c r="BG21" s="31"/>
      <c r="BH21" s="31"/>
      <c r="BI21" s="31"/>
      <c r="BJ21" s="31"/>
      <c r="BK21" s="32"/>
      <c r="BL21" s="31"/>
    </row>
    <row r="22" spans="1:64" ht="18.75" customHeight="1" x14ac:dyDescent="0.2">
      <c r="A22" s="58"/>
      <c r="B22" s="59"/>
      <c r="C22" s="23"/>
      <c r="D22" s="59"/>
      <c r="E22" s="59"/>
      <c r="F22" s="59"/>
      <c r="G22" s="24"/>
      <c r="H22" s="24"/>
      <c r="I22" s="24"/>
      <c r="J22" s="24"/>
      <c r="K22" s="8"/>
      <c r="L22" s="26"/>
      <c r="M22" s="8"/>
      <c r="N22" s="26"/>
      <c r="O22" s="113"/>
      <c r="P22" s="8"/>
      <c r="Q22" s="26"/>
      <c r="R22" s="6"/>
      <c r="S22" s="6"/>
      <c r="T22" s="6"/>
      <c r="U22" s="146"/>
      <c r="V22" s="7"/>
      <c r="W22" s="8"/>
      <c r="X22" s="8"/>
      <c r="Y22" s="26"/>
      <c r="Z22" s="6"/>
      <c r="AA22" s="8"/>
      <c r="AB22" s="8"/>
      <c r="AC22" s="8"/>
      <c r="AD22" s="6"/>
      <c r="AE22" s="71"/>
      <c r="AF22" s="27"/>
      <c r="AG22" s="28"/>
      <c r="AH22" s="8"/>
      <c r="AI22" s="61"/>
      <c r="AL22" s="29"/>
      <c r="AM22" s="29"/>
      <c r="AN22" s="30"/>
      <c r="AO22" s="31"/>
      <c r="AP22" s="31"/>
      <c r="AQ22" s="31"/>
      <c r="AR22" s="31"/>
      <c r="AS22" s="31"/>
      <c r="AT22" s="31"/>
      <c r="AU22" s="171"/>
      <c r="AV22" s="31"/>
      <c r="AW22" s="31"/>
      <c r="AX22" s="31"/>
      <c r="AZ22" s="31"/>
      <c r="BA22" s="31"/>
      <c r="BC22" s="31"/>
      <c r="BD22" s="31"/>
      <c r="BE22" s="31"/>
      <c r="BF22" s="31"/>
      <c r="BG22" s="31"/>
      <c r="BH22" s="31"/>
      <c r="BI22" s="31"/>
      <c r="BJ22" s="31"/>
      <c r="BK22" s="32"/>
      <c r="BL22" s="31"/>
    </row>
    <row r="23" spans="1:64" ht="18.75" customHeight="1" x14ac:dyDescent="0.2">
      <c r="A23" s="58"/>
      <c r="B23" s="59"/>
      <c r="C23" s="23"/>
      <c r="D23" s="59"/>
      <c r="E23" s="59"/>
      <c r="F23" s="59"/>
      <c r="G23" s="24"/>
      <c r="H23" s="84" t="s">
        <v>293</v>
      </c>
      <c r="I23" s="83">
        <v>129.864</v>
      </c>
      <c r="J23" s="83">
        <v>125.66200000000001</v>
      </c>
      <c r="K23" s="8"/>
      <c r="L23" s="26"/>
      <c r="M23" s="8">
        <f t="shared" ref="M23" si="27">$M$11</f>
        <v>0.2</v>
      </c>
      <c r="N23" s="26">
        <v>5.2619999999999996</v>
      </c>
      <c r="O23" s="113">
        <v>100</v>
      </c>
      <c r="P23" s="66">
        <f t="shared" ref="P23" si="28">(K23*L23+M23*N23)/(L23+N23)</f>
        <v>0.2</v>
      </c>
      <c r="Q23" s="67">
        <f t="shared" ref="Q23" si="29">L23+N23</f>
        <v>5.2619999999999996</v>
      </c>
      <c r="R23" s="68">
        <v>5</v>
      </c>
      <c r="S23" s="69">
        <f>($V$3*$X$45^$W$3)/(R23+$X$3)^$Y$3</f>
        <v>209.47257427000611</v>
      </c>
      <c r="T23" s="70">
        <f t="shared" ref="T23" si="30">P23*Q23*S23*2.77777777777778</f>
        <v>612.35815878265169</v>
      </c>
      <c r="U23" s="147">
        <f t="shared" ref="U23" si="31">T23</f>
        <v>612.35815878265169</v>
      </c>
      <c r="V23" s="77">
        <f>(I23-J23)/AH23</f>
        <v>2.9801418439716298E-2</v>
      </c>
      <c r="W23" s="78">
        <f t="shared" ref="W23" si="32">AP23*AC23+AR23*AC23^2</f>
        <v>0.32305776251179608</v>
      </c>
      <c r="X23" s="78">
        <f t="shared" ref="X23" si="33">AP23+2*AC23*SQRT(1+AR23^2)</f>
        <v>1.7269221409615554</v>
      </c>
      <c r="Y23" s="93">
        <f t="shared" ref="Y23" si="34">W23/X23</f>
        <v>0.18707141152983106</v>
      </c>
      <c r="Z23" s="70">
        <f>W23*(1/AN23)*Y23^(2/3)*V23^(1/2)*1000</f>
        <v>608.06360405348653</v>
      </c>
      <c r="AA23" s="74">
        <f>(1/AN23)*Y23^(2/3)*V23^(1/2)</f>
        <v>1.8822132590956822</v>
      </c>
      <c r="AB23" s="74">
        <f xml:space="preserve"> (AP23 + AR23*AC23) * AC23 * ( ((AP23 + AR23*AC23) * AC23) / (AP23 + 2*AC23*SQRT(1 + AR23^2)) )^(2/3) - (U23/1000)*AN23*V23^(-1/2)</f>
        <v>-7.4631286606821612E-4</v>
      </c>
      <c r="AC23" s="78">
        <v>0.25700578763427961</v>
      </c>
      <c r="AD23" s="70">
        <f t="shared" ref="AD23" si="35">AH23/AA23/60</f>
        <v>1.2485301485598226</v>
      </c>
      <c r="AE23" s="76">
        <f>((Z23/1000)/(S23/3600000))</f>
        <v>10450.193693475767</v>
      </c>
      <c r="AF23" s="55" t="s">
        <v>330</v>
      </c>
      <c r="AG23" s="28" t="str">
        <f>INDEX(TIPOS!K:K,MATCH($AF23,TIPOS!$A:$A,0))</f>
        <v>- 1,00 x 0,30</v>
      </c>
      <c r="AH23" s="8">
        <v>141</v>
      </c>
      <c r="AI23" s="61">
        <f>IF(A23&lt;E23,(((E23*20)+G23)-((A23*20)+C23)),(((A23*20)+C23)-((E23*20)+G23)))</f>
        <v>0</v>
      </c>
      <c r="AJ23" s="21" t="str">
        <f t="shared" ref="AJ23" si="36">IF(AE23&gt;=AH23,"OK","REVER")</f>
        <v>OK</v>
      </c>
      <c r="AK23" s="21" t="str">
        <f t="shared" ref="AK23" si="37">IF(AC23&lt;=AQ23,"OK","REVER")</f>
        <v>OK</v>
      </c>
      <c r="AL23" s="29" t="str">
        <f>INDEX(TIPOS!D:D,MATCH($AF23,TIPOS!$A:$A,0))</f>
        <v>Trapezoidal</v>
      </c>
      <c r="AM23" s="44" t="str">
        <f>INDEX(TIPOS!B:B,MATCH($AF23,TIPOS!$A:$A,0))</f>
        <v>Grama</v>
      </c>
      <c r="AN23" s="30">
        <f>INDEX(TIPOS!C:C,MATCH($AF23,TIPOS!$A:$A,0))</f>
        <v>0.03</v>
      </c>
      <c r="AO23" s="31">
        <f>INDEX(TIPOS!E:E,MATCH($AF23,TIPOS!$A:$A,0))</f>
        <v>1.6</v>
      </c>
      <c r="AP23" s="31">
        <f>INDEX(TIPOS!F:F,MATCH($AF23,TIPOS!$A:$A,0))</f>
        <v>1</v>
      </c>
      <c r="AQ23" s="31">
        <f>INDEX(TIPOS!G:G,MATCH($AF23,TIPOS!$A:$A,0))</f>
        <v>0.3</v>
      </c>
      <c r="AR23" s="31">
        <f>INDEX(TIPOS!H:H,MATCH($AF23,TIPOS!$A:$A,0))</f>
        <v>1.0000000000000002</v>
      </c>
      <c r="AS23" s="31">
        <f>INDEX(TIPOS!I:I,MATCH($AF23,TIPOS!$A:$A,0))</f>
        <v>1.0000000000000002</v>
      </c>
      <c r="AT23" s="31"/>
      <c r="AU23" s="171"/>
      <c r="AV23" s="31"/>
      <c r="AW23" s="31"/>
      <c r="AX23" s="31"/>
      <c r="AZ23" s="31"/>
      <c r="BA23" s="31"/>
      <c r="BC23" s="31"/>
      <c r="BD23" s="31"/>
      <c r="BE23" s="31"/>
      <c r="BF23" s="31"/>
      <c r="BG23" s="31"/>
      <c r="BH23" s="31"/>
      <c r="BI23" s="31"/>
      <c r="BJ23" s="31"/>
      <c r="BK23" s="32"/>
      <c r="BL23" s="31"/>
    </row>
    <row r="24" spans="1:64" ht="18.75" customHeight="1" x14ac:dyDescent="0.2">
      <c r="A24" s="58"/>
      <c r="B24" s="59"/>
      <c r="C24" s="23"/>
      <c r="D24" s="59"/>
      <c r="E24" s="59"/>
      <c r="F24" s="59"/>
      <c r="G24" s="24"/>
      <c r="H24" s="84" t="s">
        <v>294</v>
      </c>
      <c r="I24" s="83">
        <v>125.66200000000001</v>
      </c>
      <c r="J24" s="83">
        <v>124.014</v>
      </c>
      <c r="K24" s="8"/>
      <c r="L24" s="26"/>
      <c r="M24" s="8">
        <f t="shared" ref="M24" si="38">$M$11</f>
        <v>0.2</v>
      </c>
      <c r="N24" s="26">
        <v>1.5529999999999999</v>
      </c>
      <c r="O24" s="113">
        <v>100</v>
      </c>
      <c r="P24" s="66">
        <f t="shared" ref="P24" si="39">(K24*L24+M24*N24)/(L24+N24)</f>
        <v>0.2</v>
      </c>
      <c r="Q24" s="67">
        <f t="shared" ref="Q24" si="40">L24+N24</f>
        <v>1.5529999999999999</v>
      </c>
      <c r="R24" s="68">
        <v>5</v>
      </c>
      <c r="S24" s="69">
        <f>($V$3*$X$45^$W$3)/(R24+$X$3)^$Y$3</f>
        <v>209.47257427000611</v>
      </c>
      <c r="T24" s="70">
        <f t="shared" ref="T24" si="41">P24*Q24*S24*2.77777777777778</f>
        <v>180.72828213406652</v>
      </c>
      <c r="U24" s="147">
        <f t="shared" ref="U24" si="42">T24</f>
        <v>180.72828213406652</v>
      </c>
      <c r="V24" s="77">
        <f>(I24-J24)/AH24</f>
        <v>3.2960000000000204E-2</v>
      </c>
      <c r="W24" s="78">
        <f t="shared" ref="W24" si="43">AP24*AC24+AR24*AC24^2</f>
        <v>0.12402600801535693</v>
      </c>
      <c r="X24" s="78">
        <f t="shared" ref="X24" si="44">AP24+2*AC24*SQRT(1+AR24^2)</f>
        <v>1.059985547687176</v>
      </c>
      <c r="Y24" s="93">
        <f t="shared" ref="Y24" si="45">W24/X24</f>
        <v>0.11700726324615854</v>
      </c>
      <c r="Z24" s="70">
        <f>W24*(1/AN24)*Y24^(2/3)*V24^(1/2)*1000</f>
        <v>179.55341099633952</v>
      </c>
      <c r="AA24" s="74">
        <f>(1/AN24)*Y24^(2/3)*V24^(1/2)</f>
        <v>1.4477077338013427</v>
      </c>
      <c r="AB24" s="74">
        <f xml:space="preserve"> (AP24 + AR24*AC24) * AC24 * ( ((AP24 + AR24*AC24) * AC24) / (AP24 + 2*AC24*SQRT(1 + AR24^2)) )^(2/3) - (U24/1000)*AN24*V24^(-1/2)</f>
        <v>-1.9414127975778128E-4</v>
      </c>
      <c r="AC24" s="78">
        <v>0.16262945000870507</v>
      </c>
      <c r="AD24" s="70">
        <f t="shared" ref="AD24" si="46">AH24/AA24/60</f>
        <v>0.57562263009067061</v>
      </c>
      <c r="AE24" s="76">
        <f>((Z24/1000)/(S24/3600000))</f>
        <v>3085.8086402930971</v>
      </c>
      <c r="AF24" s="55" t="s">
        <v>331</v>
      </c>
      <c r="AG24" s="28" t="str">
        <f>INDEX(TIPOS!K:K,MATCH($AF24,TIPOS!$A:$A,0))</f>
        <v>- 0,60 x 0,30</v>
      </c>
      <c r="AH24" s="8">
        <v>50</v>
      </c>
      <c r="AI24" s="61">
        <f>IF(A24&lt;E24,(((E24*20)+G24)-((A24*20)+C24)),(((A24*20)+C24)-((E24*20)+G24)))</f>
        <v>0</v>
      </c>
      <c r="AJ24" s="21" t="str">
        <f t="shared" ref="AJ24" si="47">IF(AE24&gt;=AH24,"OK","REVER")</f>
        <v>OK</v>
      </c>
      <c r="AK24" s="21" t="str">
        <f t="shared" ref="AK24" si="48">IF(AC24&lt;=AQ24,"OK","REVER")</f>
        <v>OK</v>
      </c>
      <c r="AL24" s="29" t="str">
        <f>INDEX(TIPOS!D:D,MATCH($AF24,TIPOS!$A:$A,0))</f>
        <v>Trapezoidal</v>
      </c>
      <c r="AM24" s="44" t="str">
        <f>INDEX(TIPOS!B:B,MATCH($AF24,TIPOS!$A:$A,0))</f>
        <v>Grama</v>
      </c>
      <c r="AN24" s="30">
        <f>INDEX(TIPOS!C:C,MATCH($AF24,TIPOS!$A:$A,0))</f>
        <v>0.03</v>
      </c>
      <c r="AO24" s="31">
        <f>INDEX(TIPOS!E:E,MATCH($AF24,TIPOS!$A:$A,0))</f>
        <v>1.2</v>
      </c>
      <c r="AP24" s="31">
        <f>INDEX(TIPOS!F:F,MATCH($AF24,TIPOS!$A:$A,0))</f>
        <v>0.6</v>
      </c>
      <c r="AQ24" s="31">
        <f>INDEX(TIPOS!G:G,MATCH($AF24,TIPOS!$A:$A,0))</f>
        <v>0.3</v>
      </c>
      <c r="AR24" s="31">
        <f>INDEX(TIPOS!H:H,MATCH($AF24,TIPOS!$A:$A,0))</f>
        <v>1</v>
      </c>
      <c r="AS24" s="31">
        <f>INDEX(TIPOS!I:I,MATCH($AF24,TIPOS!$A:$A,0))</f>
        <v>1</v>
      </c>
      <c r="AT24" s="31"/>
      <c r="AU24" s="171"/>
      <c r="AV24" s="31"/>
      <c r="AW24" s="31"/>
      <c r="AX24" s="31"/>
      <c r="AZ24" s="31"/>
      <c r="BA24" s="31"/>
      <c r="BC24" s="31"/>
      <c r="BD24" s="31"/>
      <c r="BE24" s="31"/>
      <c r="BF24" s="31"/>
      <c r="BG24" s="31"/>
      <c r="BH24" s="31"/>
      <c r="BI24" s="31"/>
      <c r="BJ24" s="31"/>
      <c r="BK24" s="32"/>
      <c r="BL24" s="31"/>
    </row>
    <row r="25" spans="1:64" ht="18.75" customHeight="1" x14ac:dyDescent="0.2">
      <c r="A25" s="59"/>
      <c r="B25" s="59"/>
      <c r="C25" s="23"/>
      <c r="D25" s="59"/>
      <c r="E25" s="59"/>
      <c r="F25" s="59"/>
      <c r="G25" s="24"/>
      <c r="H25" s="153" t="s">
        <v>314</v>
      </c>
      <c r="I25" s="154"/>
      <c r="J25" s="154"/>
      <c r="K25" s="155"/>
      <c r="L25" s="156"/>
      <c r="M25" s="155"/>
      <c r="N25" s="156"/>
      <c r="O25" s="155"/>
      <c r="P25" s="157"/>
      <c r="Q25" s="158"/>
      <c r="R25" s="159"/>
      <c r="S25" s="159"/>
      <c r="T25" s="160"/>
      <c r="U25" s="161">
        <f>U23+U24</f>
        <v>793.08644091671817</v>
      </c>
      <c r="V25" s="162">
        <v>5.0000000000000001E-3</v>
      </c>
      <c r="W25" s="163">
        <f>((AG25^2)/8)*(AV25-SIN(AV25))</f>
        <v>0.37371282674138989</v>
      </c>
      <c r="X25" s="163">
        <f>(AG25/2)*AV25</f>
        <v>1.5795794779165577</v>
      </c>
      <c r="Y25" s="164">
        <f>W25/X25</f>
        <v>0.23659007474211532</v>
      </c>
      <c r="Z25" s="161">
        <f>(1/AN25)*W25*Y25^(2/3)*V25^(1/2)*1000</f>
        <v>777.5780663432821</v>
      </c>
      <c r="AA25" s="155">
        <f>(1/AN25)*Y25^(2/3)*V25^(1/2)</f>
        <v>2.0806833769218414</v>
      </c>
      <c r="AB25" s="155"/>
      <c r="AC25" s="163">
        <f>AW25</f>
        <v>0.55712135279620656</v>
      </c>
      <c r="AD25" s="156">
        <f>AH25/AA25/60</f>
        <v>8.0101887925510804E-2</v>
      </c>
      <c r="AE25" s="165"/>
      <c r="AF25" s="166" t="s">
        <v>308</v>
      </c>
      <c r="AG25" s="167">
        <f>INDEX(TIPOS!K:K,MATCH($AF25,TIPOS!$A:$A,0))</f>
        <v>0.8</v>
      </c>
      <c r="AH25" s="155">
        <v>10</v>
      </c>
      <c r="AI25" s="61"/>
      <c r="AL25" s="29" t="str">
        <f>INDEX(TIPOS!D:D,MATCH($AF25,TIPOS!$A:$A,0))</f>
        <v>Circular</v>
      </c>
      <c r="AM25" s="44" t="str">
        <f>INDEX(TIPOS!B:B,MATCH($AF25,TIPOS!$A:$A,0))</f>
        <v>Concreto</v>
      </c>
      <c r="AN25" s="30">
        <f>INDEX(TIPOS!C:C,MATCH($AF25,TIPOS!$A:$A,0))</f>
        <v>1.2999999999999999E-2</v>
      </c>
      <c r="AO25" s="31"/>
      <c r="AP25" s="31"/>
      <c r="AQ25" s="31">
        <f>INDEX(TIPOS!G:G,MATCH($AF25,TIPOS!$A:$A,0))</f>
        <v>0.68</v>
      </c>
      <c r="AR25" s="31"/>
      <c r="AS25" s="31"/>
      <c r="AT25" s="31"/>
      <c r="AU25" s="172">
        <f>U25/1000*AN25*AG25^(-8/3)*V25^(-1/2)</f>
        <v>0.26436598569518527</v>
      </c>
      <c r="AV25" s="168">
        <f>((3*PI())/2)*SQRT(1-SQRT(1-SQRT(PI()*AU25)))</f>
        <v>3.9489486947913939</v>
      </c>
      <c r="AW25" s="169">
        <f>(AG25/2)*(1-COS(AV25/2))</f>
        <v>0.55712135279620656</v>
      </c>
      <c r="AX25" s="169">
        <f>AW25/AG25</f>
        <v>0.69640169099525817</v>
      </c>
      <c r="AZ25" s="31"/>
      <c r="BA25" s="31"/>
      <c r="BC25" s="31"/>
      <c r="BD25" s="31"/>
      <c r="BE25" s="31"/>
      <c r="BF25" s="31"/>
      <c r="BG25" s="31"/>
      <c r="BH25" s="31"/>
      <c r="BI25" s="31"/>
      <c r="BJ25" s="31"/>
      <c r="BK25" s="32"/>
      <c r="BL25" s="31"/>
    </row>
    <row r="26" spans="1:64" ht="18.75" customHeight="1" x14ac:dyDescent="0.2">
      <c r="A26" s="59"/>
      <c r="B26" s="59"/>
      <c r="C26" s="23"/>
      <c r="D26" s="59"/>
      <c r="E26" s="59"/>
      <c r="F26" s="59"/>
      <c r="G26" s="24"/>
      <c r="H26" s="24"/>
      <c r="I26" s="24"/>
      <c r="J26" s="24"/>
      <c r="K26" s="8"/>
      <c r="L26" s="26"/>
      <c r="M26" s="8"/>
      <c r="N26" s="26"/>
      <c r="O26" s="113"/>
      <c r="P26" s="8"/>
      <c r="Q26" s="26"/>
      <c r="R26" s="6"/>
      <c r="S26" s="6"/>
      <c r="T26" s="6"/>
      <c r="U26" s="146"/>
      <c r="V26" s="7"/>
      <c r="W26" s="8"/>
      <c r="X26" s="8"/>
      <c r="Y26" s="26"/>
      <c r="Z26" s="6"/>
      <c r="AA26" s="8"/>
      <c r="AB26" s="8"/>
      <c r="AC26" s="8"/>
      <c r="AD26" s="6"/>
      <c r="AE26" s="71"/>
      <c r="AF26" s="27"/>
      <c r="AG26" s="28"/>
      <c r="AH26" s="8"/>
      <c r="AI26" s="61"/>
      <c r="AL26" s="29"/>
      <c r="AM26" s="29"/>
      <c r="AN26" s="30"/>
      <c r="AO26" s="31"/>
      <c r="AP26" s="31"/>
      <c r="AQ26" s="31"/>
      <c r="AR26" s="31"/>
      <c r="AS26" s="31"/>
      <c r="AT26" s="31"/>
      <c r="AU26" s="171"/>
      <c r="AV26" s="31"/>
      <c r="AW26" s="31"/>
      <c r="AX26" s="31"/>
      <c r="AZ26" s="31"/>
      <c r="BA26" s="31"/>
      <c r="BC26" s="31"/>
      <c r="BD26" s="31"/>
      <c r="BE26" s="31"/>
      <c r="BF26" s="31"/>
      <c r="BG26" s="31"/>
      <c r="BH26" s="31"/>
      <c r="BI26" s="31"/>
      <c r="BJ26" s="31"/>
      <c r="BK26" s="32"/>
      <c r="BL26" s="31"/>
    </row>
    <row r="27" spans="1:64" ht="18.75" customHeight="1" x14ac:dyDescent="0.2">
      <c r="A27" s="58"/>
      <c r="B27" s="59"/>
      <c r="C27" s="23"/>
      <c r="D27" s="59"/>
      <c r="E27" s="59"/>
      <c r="F27" s="59"/>
      <c r="G27" s="24"/>
      <c r="H27" s="84" t="s">
        <v>295</v>
      </c>
      <c r="I27" s="83">
        <v>124.014</v>
      </c>
      <c r="J27" s="83">
        <v>119.331</v>
      </c>
      <c r="K27" s="8"/>
      <c r="L27" s="26"/>
      <c r="M27" s="8">
        <f t="shared" ref="M27" si="49">$M$11</f>
        <v>0.2</v>
      </c>
      <c r="N27" s="26">
        <v>5.6790000000000003</v>
      </c>
      <c r="O27" s="113">
        <v>100</v>
      </c>
      <c r="P27" s="66">
        <f t="shared" ref="P27" si="50">(K27*L27+M27*N27)/(L27+N27)</f>
        <v>0.2</v>
      </c>
      <c r="Q27" s="67">
        <f t="shared" ref="Q27" si="51">L27+N27</f>
        <v>5.6790000000000003</v>
      </c>
      <c r="R27" s="68">
        <v>5</v>
      </c>
      <c r="S27" s="69">
        <f>($V$3*$X$45^$W$3)/(R27+$X$3)^$Y$3</f>
        <v>209.47257427000611</v>
      </c>
      <c r="T27" s="70">
        <f t="shared" ref="T27" si="52">P27*Q27*S27*2.77777777777778</f>
        <v>660.88597182186982</v>
      </c>
      <c r="U27" s="147">
        <f t="shared" ref="U27" si="53">T27</f>
        <v>660.88597182186982</v>
      </c>
      <c r="V27" s="77">
        <f>(I27-J27)/AH27</f>
        <v>2.4647368421052595E-2</v>
      </c>
      <c r="W27" s="78">
        <f t="shared" ref="W27" si="54">AP27*AC27+AR27*AC27^2</f>
        <v>0.2243570820737345</v>
      </c>
      <c r="X27" s="78">
        <f t="shared" ref="X27" si="55">AP27+2*AC27*SQRT(1+AR27^2)</f>
        <v>1.5338256201357878</v>
      </c>
      <c r="Y27" s="93">
        <f t="shared" ref="Y27" si="56">W27/X27</f>
        <v>0.14627287426185542</v>
      </c>
      <c r="Z27" s="70">
        <f>W27*(1/AN27)*Y27^(2/3)*V27^(1/2)*1000</f>
        <v>325.94651128132165</v>
      </c>
      <c r="AA27" s="74">
        <f>(1/AN27)*Y27^(2/3)*V27^(1/2)</f>
        <v>1.4528024177734669</v>
      </c>
      <c r="AB27" s="74">
        <f xml:space="preserve"> (AP27 + AR27*AC27) * AC27 * ( ((AP27 + AR27*AC27) * AC27) / (AP27 + 2*AC27*SQRT(1 + AR27^2)) )^(2/3) - (U27/1000)*AN27*V27^(-1/2)</f>
        <v>-6.400328910785745E-2</v>
      </c>
      <c r="AC27" s="78">
        <v>0.18873585798456471</v>
      </c>
      <c r="AD27" s="70">
        <f t="shared" ref="AD27" si="57">AH27/AA27/60</f>
        <v>2.179695344615292</v>
      </c>
      <c r="AE27" s="76">
        <f>((Z27/1000)/(S27/3600000))</f>
        <v>5601.7234938844949</v>
      </c>
      <c r="AF27" s="55" t="s">
        <v>330</v>
      </c>
      <c r="AG27" s="28" t="str">
        <f>INDEX(TIPOS!K:K,MATCH($AF27,TIPOS!$A:$A,0))</f>
        <v>- 1,00 x 0,30</v>
      </c>
      <c r="AH27" s="8">
        <v>190</v>
      </c>
      <c r="AI27" s="61">
        <f>IF(A27&lt;E27,(((E27*20)+G27)-((A27*20)+C27)),(((A27*20)+C27)-((E27*20)+G27)))</f>
        <v>0</v>
      </c>
      <c r="AJ27" s="21" t="str">
        <f t="shared" ref="AJ27" si="58">IF(AE27&gt;=AH27,"OK","REVER")</f>
        <v>OK</v>
      </c>
      <c r="AK27" s="21" t="str">
        <f t="shared" ref="AK27" si="59">IF(AC27&lt;=AQ27,"OK","REVER")</f>
        <v>OK</v>
      </c>
      <c r="AL27" s="29" t="str">
        <f>INDEX(TIPOS!D:D,MATCH($AF27,TIPOS!$A:$A,0))</f>
        <v>Trapezoidal</v>
      </c>
      <c r="AM27" s="44" t="str">
        <f>INDEX(TIPOS!B:B,MATCH($AF27,TIPOS!$A:$A,0))</f>
        <v>Grama</v>
      </c>
      <c r="AN27" s="30">
        <f>INDEX(TIPOS!C:C,MATCH($AF27,TIPOS!$A:$A,0))</f>
        <v>0.03</v>
      </c>
      <c r="AO27" s="31">
        <f>INDEX(TIPOS!E:E,MATCH($AF27,TIPOS!$A:$A,0))</f>
        <v>1.6</v>
      </c>
      <c r="AP27" s="31">
        <f>INDEX(TIPOS!F:F,MATCH($AF27,TIPOS!$A:$A,0))</f>
        <v>1</v>
      </c>
      <c r="AQ27" s="31">
        <f>INDEX(TIPOS!G:G,MATCH($AF27,TIPOS!$A:$A,0))</f>
        <v>0.3</v>
      </c>
      <c r="AR27" s="31">
        <f>INDEX(TIPOS!H:H,MATCH($AF27,TIPOS!$A:$A,0))</f>
        <v>1.0000000000000002</v>
      </c>
      <c r="AS27" s="31">
        <f>INDEX(TIPOS!I:I,MATCH($AF27,TIPOS!$A:$A,0))</f>
        <v>1.0000000000000002</v>
      </c>
      <c r="AT27" s="31"/>
      <c r="AU27" s="171"/>
      <c r="AV27" s="31"/>
      <c r="AW27" s="31"/>
      <c r="AX27" s="31"/>
      <c r="AZ27" s="31"/>
      <c r="BA27" s="31"/>
      <c r="BC27" s="31"/>
      <c r="BD27" s="31"/>
      <c r="BE27" s="31"/>
      <c r="BF27" s="31"/>
      <c r="BG27" s="31"/>
      <c r="BH27" s="31"/>
      <c r="BI27" s="31"/>
      <c r="BJ27" s="31"/>
      <c r="BK27" s="32"/>
      <c r="BL27" s="31"/>
    </row>
    <row r="28" spans="1:64" ht="18.75" customHeight="1" x14ac:dyDescent="0.2">
      <c r="A28" s="58"/>
      <c r="B28" s="59"/>
      <c r="C28" s="23"/>
      <c r="D28" s="59"/>
      <c r="E28" s="59"/>
      <c r="F28" s="59"/>
      <c r="G28" s="24"/>
      <c r="H28" s="84" t="s">
        <v>296</v>
      </c>
      <c r="I28" s="83">
        <v>119.80200000000001</v>
      </c>
      <c r="J28" s="83">
        <v>119.331</v>
      </c>
      <c r="K28" s="8"/>
      <c r="L28" s="26"/>
      <c r="M28" s="8">
        <f t="shared" ref="M28" si="60">$M$11</f>
        <v>0.2</v>
      </c>
      <c r="N28" s="26">
        <v>2.5350000000000001</v>
      </c>
      <c r="O28" s="113">
        <v>100</v>
      </c>
      <c r="P28" s="66">
        <f t="shared" ref="P28" si="61">(K28*L28+M28*N28)/(L28+N28)</f>
        <v>0.19999999999999998</v>
      </c>
      <c r="Q28" s="67">
        <f t="shared" ref="Q28" si="62">L28+N28</f>
        <v>2.5350000000000001</v>
      </c>
      <c r="R28" s="68">
        <v>5</v>
      </c>
      <c r="S28" s="69">
        <f>($V$3*$X$45^$W$3)/(R28+$X$3)^$Y$3</f>
        <v>209.47257427000611</v>
      </c>
      <c r="T28" s="70">
        <f t="shared" ref="T28" si="63">P28*Q28*S28*2.77777777777778</f>
        <v>295.00720876359219</v>
      </c>
      <c r="U28" s="147">
        <f t="shared" ref="U28" si="64">T28</f>
        <v>295.00720876359219</v>
      </c>
      <c r="V28" s="77">
        <f>(I28-J28)/AH28</f>
        <v>1.8115384615384755E-2</v>
      </c>
      <c r="W28" s="78">
        <f t="shared" ref="W28" si="65">AP28*AC28+AR28*AC28^2</f>
        <v>0.25871520651640423</v>
      </c>
      <c r="X28" s="78">
        <f t="shared" ref="X28" si="66">AP28+2*AC28*SQRT(1+AR28^2)</f>
        <v>1.4217178480918198</v>
      </c>
      <c r="Y28" s="93">
        <f t="shared" ref="Y28" si="67">W28/X28</f>
        <v>0.18197366436922965</v>
      </c>
      <c r="Z28" s="70">
        <f>W28*(1/AN28)*Y28^(2/3)*V28^(1/2)*1000</f>
        <v>372.73213864097613</v>
      </c>
      <c r="AA28" s="74">
        <f>(1/AN28)*Y28^(2/3)*V28^(1/2)</f>
        <v>1.440704408758217</v>
      </c>
      <c r="AB28" s="74">
        <f xml:space="preserve"> (AP28 + AR28*AC28) * AC28 * ( ((AP28 + AR28*AC28) * AC28) / (AP28 + 2*AC28*SQRT(1 + AR28^2)) )^(2/3) - (U28/1000)*AN28*V28^(-1/2)</f>
        <v>1.7324384503118073E-2</v>
      </c>
      <c r="AC28" s="78">
        <v>0.29052113130387153</v>
      </c>
      <c r="AD28" s="70">
        <f t="shared" ref="AD28" si="68">AH28/AA28/60</f>
        <v>0.30077879313691791</v>
      </c>
      <c r="AE28" s="76">
        <f>((Z28/1000)/(S28/3600000))</f>
        <v>6405.7822547113683</v>
      </c>
      <c r="AF28" s="55" t="s">
        <v>331</v>
      </c>
      <c r="AG28" s="28" t="str">
        <f>INDEX(TIPOS!K:K,MATCH($AF28,TIPOS!$A:$A,0))</f>
        <v>- 0,60 x 0,30</v>
      </c>
      <c r="AH28" s="8">
        <v>26</v>
      </c>
      <c r="AI28" s="61">
        <f>IF(A28&lt;E28,(((E28*20)+G28)-((A28*20)+C28)),(((A28*20)+C28)-((E28*20)+G28)))</f>
        <v>0</v>
      </c>
      <c r="AJ28" s="21" t="str">
        <f t="shared" ref="AJ28" si="69">IF(AE28&gt;=AH28,"OK","REVER")</f>
        <v>OK</v>
      </c>
      <c r="AK28" s="21" t="str">
        <f t="shared" ref="AK28" si="70">IF(AC28&lt;=AQ28,"OK","REVER")</f>
        <v>OK</v>
      </c>
      <c r="AL28" s="29" t="str">
        <f>INDEX(TIPOS!D:D,MATCH($AF28,TIPOS!$A:$A,0))</f>
        <v>Trapezoidal</v>
      </c>
      <c r="AM28" s="44" t="str">
        <f>INDEX(TIPOS!B:B,MATCH($AF28,TIPOS!$A:$A,0))</f>
        <v>Grama</v>
      </c>
      <c r="AN28" s="30">
        <f>INDEX(TIPOS!C:C,MATCH($AF28,TIPOS!$A:$A,0))</f>
        <v>0.03</v>
      </c>
      <c r="AO28" s="31">
        <f>INDEX(TIPOS!E:E,MATCH($AF28,TIPOS!$A:$A,0))</f>
        <v>1.2</v>
      </c>
      <c r="AP28" s="31">
        <f>INDEX(TIPOS!F:F,MATCH($AF28,TIPOS!$A:$A,0))</f>
        <v>0.6</v>
      </c>
      <c r="AQ28" s="31">
        <f>INDEX(TIPOS!G:G,MATCH($AF28,TIPOS!$A:$A,0))</f>
        <v>0.3</v>
      </c>
      <c r="AR28" s="31">
        <f>INDEX(TIPOS!H:H,MATCH($AF28,TIPOS!$A:$A,0))</f>
        <v>1</v>
      </c>
      <c r="AS28" s="31">
        <f>INDEX(TIPOS!I:I,MATCH($AF28,TIPOS!$A:$A,0))</f>
        <v>1</v>
      </c>
      <c r="AT28" s="31"/>
      <c r="AU28" s="171"/>
      <c r="AV28" s="31"/>
      <c r="AW28" s="31"/>
      <c r="AX28" s="31"/>
      <c r="AZ28" s="31"/>
      <c r="BA28" s="31"/>
      <c r="BC28" s="31"/>
      <c r="BD28" s="31"/>
      <c r="BE28" s="31"/>
      <c r="BF28" s="31"/>
      <c r="BG28" s="31"/>
      <c r="BH28" s="31"/>
      <c r="BI28" s="31"/>
      <c r="BJ28" s="31"/>
      <c r="BK28" s="32"/>
      <c r="BL28" s="31"/>
    </row>
    <row r="29" spans="1:64" ht="18.75" customHeight="1" x14ac:dyDescent="0.2">
      <c r="A29" s="59"/>
      <c r="B29" s="59"/>
      <c r="C29" s="23"/>
      <c r="D29" s="59"/>
      <c r="E29" s="59"/>
      <c r="F29" s="59"/>
      <c r="G29" s="24"/>
      <c r="H29" s="153" t="s">
        <v>315</v>
      </c>
      <c r="I29" s="154"/>
      <c r="J29" s="154"/>
      <c r="K29" s="155"/>
      <c r="L29" s="156"/>
      <c r="M29" s="155"/>
      <c r="N29" s="156"/>
      <c r="O29" s="155"/>
      <c r="P29" s="157"/>
      <c r="Q29" s="158"/>
      <c r="R29" s="159"/>
      <c r="S29" s="159"/>
      <c r="T29" s="160"/>
      <c r="U29" s="161">
        <f>U27+U28</f>
        <v>955.89318058546201</v>
      </c>
      <c r="V29" s="162">
        <v>5.0000000000000001E-3</v>
      </c>
      <c r="W29" s="163">
        <f>((AG29^2)/8)*(AV29-SIN(AV29))</f>
        <v>0.43446079692264483</v>
      </c>
      <c r="X29" s="163">
        <f>(AG29/2)*AV29</f>
        <v>1.6545150733672571</v>
      </c>
      <c r="Y29" s="164">
        <f>W29/X29</f>
        <v>0.26259101770431947</v>
      </c>
      <c r="Z29" s="161">
        <f>(1/AN29)*W29*Y29^(2/3)*V29^(1/2)*1000</f>
        <v>969.04844408030931</v>
      </c>
      <c r="AA29" s="155">
        <f>(1/AN29)*Y29^(2/3)*V29^(1/2)</f>
        <v>2.2304623361744813</v>
      </c>
      <c r="AB29" s="155"/>
      <c r="AC29" s="163">
        <f>AW29</f>
        <v>0.54181049289076755</v>
      </c>
      <c r="AD29" s="156">
        <f>AH29/AA29/60</f>
        <v>7.4722923567730179E-2</v>
      </c>
      <c r="AE29" s="165"/>
      <c r="AF29" s="166" t="s">
        <v>309</v>
      </c>
      <c r="AG29" s="167">
        <f>INDEX(TIPOS!K:K,MATCH($AF29,TIPOS!$A:$A,0))</f>
        <v>1</v>
      </c>
      <c r="AH29" s="155">
        <v>10</v>
      </c>
      <c r="AI29" s="61"/>
      <c r="AL29" s="29" t="str">
        <f>INDEX(TIPOS!D:D,MATCH($AF29,TIPOS!$A:$A,0))</f>
        <v>Circular</v>
      </c>
      <c r="AM29" s="44" t="str">
        <f>INDEX(TIPOS!B:B,MATCH($AF29,TIPOS!$A:$A,0))</f>
        <v>Concreto</v>
      </c>
      <c r="AN29" s="30">
        <f>INDEX(TIPOS!C:C,MATCH($AF29,TIPOS!$A:$A,0))</f>
        <v>1.2999999999999999E-2</v>
      </c>
      <c r="AO29" s="31"/>
      <c r="AP29" s="31"/>
      <c r="AQ29" s="31">
        <f>INDEX(TIPOS!G:G,MATCH($AF29,TIPOS!$A:$A,0))</f>
        <v>0.85</v>
      </c>
      <c r="AR29" s="31"/>
      <c r="AS29" s="31"/>
      <c r="AT29" s="31"/>
      <c r="AU29" s="172">
        <f>U29/1000*AN29*AG29^(-8/3)*V29^(-1/2)</f>
        <v>0.17573882302130889</v>
      </c>
      <c r="AV29" s="168">
        <f>((3*PI())/2)*SQRT(1-SQRT(1-SQRT(PI()*AU29)))</f>
        <v>3.3090301467345142</v>
      </c>
      <c r="AW29" s="169">
        <f>(AG29/2)*(1-COS(AV29/2))</f>
        <v>0.54181049289076755</v>
      </c>
      <c r="AX29" s="169">
        <f>AW29/AG29</f>
        <v>0.54181049289076755</v>
      </c>
      <c r="AZ29" s="31"/>
      <c r="BA29" s="31"/>
      <c r="BC29" s="31"/>
      <c r="BD29" s="31"/>
      <c r="BE29" s="31"/>
      <c r="BF29" s="31"/>
      <c r="BG29" s="31"/>
      <c r="BH29" s="31"/>
      <c r="BI29" s="31"/>
      <c r="BJ29" s="31"/>
      <c r="BK29" s="32"/>
      <c r="BL29" s="31"/>
    </row>
    <row r="30" spans="1:64" ht="18.75" customHeight="1" x14ac:dyDescent="0.2">
      <c r="A30" s="58"/>
      <c r="B30" s="59"/>
      <c r="C30" s="23"/>
      <c r="D30" s="59"/>
      <c r="E30" s="59"/>
      <c r="F30" s="59"/>
      <c r="G30" s="24"/>
      <c r="H30" s="24"/>
      <c r="I30" s="24"/>
      <c r="J30" s="24"/>
      <c r="K30" s="8"/>
      <c r="L30" s="26"/>
      <c r="M30" s="8"/>
      <c r="N30" s="26"/>
      <c r="O30" s="113"/>
      <c r="P30" s="8"/>
      <c r="Q30" s="26"/>
      <c r="R30" s="6"/>
      <c r="S30" s="6"/>
      <c r="T30" s="6"/>
      <c r="U30" s="146"/>
      <c r="V30" s="7"/>
      <c r="W30" s="8"/>
      <c r="X30" s="8"/>
      <c r="Y30" s="26"/>
      <c r="Z30" s="6"/>
      <c r="AA30" s="8"/>
      <c r="AB30" s="8"/>
      <c r="AC30" s="8"/>
      <c r="AD30" s="6"/>
      <c r="AE30" s="71"/>
      <c r="AF30" s="27"/>
      <c r="AG30" s="28"/>
      <c r="AH30" s="8"/>
      <c r="AI30" s="61"/>
      <c r="AL30" s="29"/>
      <c r="AM30" s="29"/>
      <c r="AN30" s="30"/>
      <c r="AO30" s="31"/>
      <c r="AP30" s="31"/>
      <c r="AQ30" s="31"/>
      <c r="AR30" s="31"/>
      <c r="AS30" s="31"/>
      <c r="AT30" s="31"/>
      <c r="AU30" s="171"/>
      <c r="AV30" s="31"/>
      <c r="AW30" s="31"/>
      <c r="AX30" s="31"/>
      <c r="AZ30" s="31"/>
      <c r="BA30" s="31"/>
      <c r="BC30" s="31"/>
      <c r="BD30" s="31"/>
      <c r="BE30" s="31"/>
      <c r="BF30" s="31"/>
      <c r="BG30" s="31"/>
      <c r="BH30" s="31"/>
      <c r="BI30" s="31"/>
      <c r="BJ30" s="31"/>
      <c r="BK30" s="32"/>
      <c r="BL30" s="31"/>
    </row>
    <row r="31" spans="1:64" ht="18.75" customHeight="1" x14ac:dyDescent="0.2">
      <c r="A31" s="58"/>
      <c r="B31" s="59"/>
      <c r="C31" s="23"/>
      <c r="D31" s="59"/>
      <c r="E31" s="59"/>
      <c r="F31" s="59"/>
      <c r="G31" s="24"/>
      <c r="H31" s="84" t="s">
        <v>297</v>
      </c>
      <c r="I31" s="83">
        <v>119.80200000000001</v>
      </c>
      <c r="J31" s="83">
        <v>116.245</v>
      </c>
      <c r="K31" s="8"/>
      <c r="L31" s="26"/>
      <c r="M31" s="8">
        <f t="shared" ref="M31:M39" si="71">$M$11</f>
        <v>0.2</v>
      </c>
      <c r="N31" s="26">
        <v>9.3209999999999997</v>
      </c>
      <c r="O31" s="113">
        <v>60</v>
      </c>
      <c r="P31" s="66">
        <f t="shared" ref="P31" si="72">(K31*L31+M31*N31)/(L31+N31)</f>
        <v>0.2</v>
      </c>
      <c r="Q31" s="67">
        <f t="shared" ref="Q31" si="73">L31+N31</f>
        <v>9.3209999999999997</v>
      </c>
      <c r="R31" s="68">
        <v>5</v>
      </c>
      <c r="S31" s="69">
        <f>($V$3*$X$45^$W$3)/(R31+$X$3)^$Y$3</f>
        <v>209.47257427000611</v>
      </c>
      <c r="T31" s="70">
        <f>P31*Q31*S31*2.77777777777778</f>
        <v>1084.7188137615158</v>
      </c>
      <c r="U31" s="147">
        <f>T31</f>
        <v>1084.7188137615158</v>
      </c>
      <c r="V31" s="77">
        <f>(I31-J31)/AH31</f>
        <v>1.9021390374331561E-2</v>
      </c>
      <c r="W31" s="78">
        <f t="shared" ref="W31" si="74">AP31*AC31+AR31*AC31^2</f>
        <v>0.5703090800633841</v>
      </c>
      <c r="X31" s="78">
        <f t="shared" ref="X31" si="75">AP31+2*AC31*SQRT(1+AR31^2)</f>
        <v>2.1475187890850105</v>
      </c>
      <c r="Y31" s="93">
        <f t="shared" ref="Y31" si="76">W31/X31</f>
        <v>0.26556651469688641</v>
      </c>
      <c r="Z31" s="70">
        <f>W31*(1/AN31)*Y31^(2/3)*V31^(1/2)*1000</f>
        <v>1083.2425313853528</v>
      </c>
      <c r="AA31" s="74">
        <f>(1/AN31)*Y31^(2/3)*V31^(1/2)</f>
        <v>1.8993955545385344</v>
      </c>
      <c r="AB31" s="74">
        <f xml:space="preserve"> (AP31 + AR31*AC31) * AC31 * ( ((AP31 + AR31*AC31) * AC31) / (AP31 + 2*AC31*SQRT(1 + AR31^2)) )^(2/3) - (U31/1000)*AN31*V31^(-1/2)</f>
        <v>-3.2112163071648658E-4</v>
      </c>
      <c r="AC31" s="78">
        <v>0.40570915865049312</v>
      </c>
      <c r="AD31" s="70">
        <f t="shared" ref="AD31" si="77">AH31/AA31/60</f>
        <v>1.6408728867557412</v>
      </c>
      <c r="AE31" s="76">
        <f>((Z31/1000)/(S31/3600000))</f>
        <v>18616.62858050652</v>
      </c>
      <c r="AF31" s="55" t="s">
        <v>194</v>
      </c>
      <c r="AG31" s="28" t="str">
        <f>INDEX(TIPOS!K:K,MATCH($AF31,TIPOS!$A:$A,0))</f>
        <v>- 1,00 x 1,00</v>
      </c>
      <c r="AH31" s="8">
        <v>187</v>
      </c>
      <c r="AI31" s="61">
        <f>IF(A31&lt;E31,(((E31*20)+G31)-((A31*20)+C31)),(((A31*20)+C31)-((E31*20)+G31)))</f>
        <v>0</v>
      </c>
      <c r="AJ31" s="21" t="str">
        <f t="shared" ref="AJ31" si="78">IF(AE31&gt;=AH31,"OK","REVER")</f>
        <v>OK</v>
      </c>
      <c r="AK31" s="21" t="str">
        <f>IF(AC31&lt;=AQ31,"OK","REVER")</f>
        <v>OK</v>
      </c>
      <c r="AL31" s="29" t="str">
        <f>INDEX(TIPOS!D:D,MATCH($AF31,TIPOS!$A:$A,0))</f>
        <v>Trapezoidal</v>
      </c>
      <c r="AM31" s="44" t="str">
        <f>INDEX(TIPOS!B:B,MATCH($AF31,TIPOS!$A:$A,0))</f>
        <v>Grama</v>
      </c>
      <c r="AN31" s="30">
        <f>INDEX(TIPOS!C:C,MATCH($AF31,TIPOS!$A:$A,0))</f>
        <v>0.03</v>
      </c>
      <c r="AO31" s="31">
        <f>INDEX(TIPOS!E:E,MATCH($AF31,TIPOS!$A:$A,0))</f>
        <v>3</v>
      </c>
      <c r="AP31" s="31">
        <f>INDEX(TIPOS!F:F,MATCH($AF31,TIPOS!$A:$A,0))</f>
        <v>1</v>
      </c>
      <c r="AQ31" s="31">
        <f>INDEX(TIPOS!G:G,MATCH($AF31,TIPOS!$A:$A,0))</f>
        <v>1</v>
      </c>
      <c r="AR31" s="31">
        <f>INDEX(TIPOS!H:H,MATCH($AF31,TIPOS!$A:$A,0))</f>
        <v>1</v>
      </c>
      <c r="AS31" s="31">
        <f>INDEX(TIPOS!I:I,MATCH($AF31,TIPOS!$A:$A,0))</f>
        <v>1</v>
      </c>
      <c r="AT31" s="31"/>
      <c r="AU31" s="171"/>
      <c r="AV31" s="31"/>
      <c r="AW31" s="31"/>
      <c r="AX31" s="31"/>
      <c r="AZ31" s="31"/>
      <c r="BA31" s="31"/>
      <c r="BC31" s="31"/>
      <c r="BD31" s="31"/>
      <c r="BE31" s="31"/>
      <c r="BF31" s="31"/>
      <c r="BG31" s="31"/>
      <c r="BH31" s="31"/>
      <c r="BI31" s="31"/>
      <c r="BJ31" s="31"/>
      <c r="BK31" s="32"/>
      <c r="BL31" s="31"/>
    </row>
    <row r="32" spans="1:64" ht="18.75" customHeight="1" x14ac:dyDescent="0.2">
      <c r="A32" s="58"/>
      <c r="B32" s="59"/>
      <c r="C32" s="23"/>
      <c r="D32" s="59"/>
      <c r="E32" s="59"/>
      <c r="F32" s="59"/>
      <c r="G32" s="24"/>
      <c r="H32" s="84" t="s">
        <v>298</v>
      </c>
      <c r="I32" s="83">
        <v>117.28400000000001</v>
      </c>
      <c r="J32" s="83">
        <v>116.245</v>
      </c>
      <c r="K32" s="8"/>
      <c r="L32" s="26"/>
      <c r="M32" s="8">
        <f t="shared" si="71"/>
        <v>0.2</v>
      </c>
      <c r="N32" s="26">
        <v>12.273999999999999</v>
      </c>
      <c r="O32" s="113">
        <v>60</v>
      </c>
      <c r="P32" s="66">
        <f t="shared" ref="P32" si="79">(K32*L32+M32*N32)/(L32+N32)</f>
        <v>0.2</v>
      </c>
      <c r="Q32" s="67">
        <f t="shared" ref="Q32" si="80">L32+N32</f>
        <v>12.273999999999999</v>
      </c>
      <c r="R32" s="68">
        <v>5</v>
      </c>
      <c r="S32" s="69">
        <f>($V$3*$X$45^$W$3)/(R32+$X$3)^$Y$3</f>
        <v>209.47257427000611</v>
      </c>
      <c r="T32" s="70">
        <f t="shared" ref="T32" si="81">P32*Q32*S32*2.77777777777778</f>
        <v>1428.3702092166984</v>
      </c>
      <c r="U32" s="147">
        <f t="shared" ref="U32" si="82">T32</f>
        <v>1428.3702092166984</v>
      </c>
      <c r="V32" s="77">
        <f>(I32-J32)/AH32</f>
        <v>4.877934272300476E-3</v>
      </c>
      <c r="W32" s="78">
        <f t="shared" ref="W32" si="83">AP32*AC32+AR32*AC32^2</f>
        <v>1.1459147129411278</v>
      </c>
      <c r="X32" s="78">
        <f t="shared" ref="X32" si="84">AP32+2*AC32*SQRT(1+AR32^2)</f>
        <v>2.9275401244699406</v>
      </c>
      <c r="Y32" s="93">
        <f t="shared" ref="Y32" si="85">W32/X32</f>
        <v>0.39142579237871478</v>
      </c>
      <c r="Z32" s="70">
        <f>W32*(1/AN32)*Y32^(2/3)*V32^(1/2)*1000</f>
        <v>1427.5192471402506</v>
      </c>
      <c r="AA32" s="74">
        <f>(1/AN32)*Y32^(2/3)*V32^(1/2)</f>
        <v>1.2457465036611242</v>
      </c>
      <c r="AB32" s="74">
        <f xml:space="preserve"> (AP32 + AR32*AC32) * AC32 * ( ((AP32 + AR32*AC32) * AC32) / (AP32 + 2*AC32*SQRT(1 + AR32^2)) )^(2/3) - (U32/1000)*AN32*V32^(-1/2)</f>
        <v>-3.6552197245542928E-4</v>
      </c>
      <c r="AC32" s="78">
        <v>0.68148834651092849</v>
      </c>
      <c r="AD32" s="70">
        <f>AH32/AA32/60</f>
        <v>2.8496969404023256</v>
      </c>
      <c r="AE32" s="76">
        <f>((Z32/1000)/(S32/3600000))</f>
        <v>24533.375348129066</v>
      </c>
      <c r="AF32" s="55" t="s">
        <v>194</v>
      </c>
      <c r="AG32" s="28" t="str">
        <f>INDEX(TIPOS!K:K,MATCH($AF32,TIPOS!$A:$A,0))</f>
        <v>- 1,00 x 1,00</v>
      </c>
      <c r="AH32" s="8">
        <v>213</v>
      </c>
      <c r="AI32" s="61">
        <f>IF(A32&lt;E32,(((E32*20)+G32)-((A32*20)+C32)),(((A32*20)+C32)-((E32*20)+G32)))</f>
        <v>0</v>
      </c>
      <c r="AJ32" s="21" t="str">
        <f t="shared" ref="AJ32" si="86">IF(AE32&gt;=AH32,"OK","REVER")</f>
        <v>OK</v>
      </c>
      <c r="AK32" s="21" t="str">
        <f t="shared" ref="AK32" si="87">IF(AC32&lt;=AQ32,"OK","REVER")</f>
        <v>OK</v>
      </c>
      <c r="AL32" s="29" t="str">
        <f>INDEX(TIPOS!D:D,MATCH($AF32,TIPOS!$A:$A,0))</f>
        <v>Trapezoidal</v>
      </c>
      <c r="AM32" s="44" t="str">
        <f>INDEX(TIPOS!B:B,MATCH($AF32,TIPOS!$A:$A,0))</f>
        <v>Grama</v>
      </c>
      <c r="AN32" s="30">
        <f>INDEX(TIPOS!C:C,MATCH($AF32,TIPOS!$A:$A,0))</f>
        <v>0.03</v>
      </c>
      <c r="AO32" s="31">
        <f>INDEX(TIPOS!E:E,MATCH($AF32,TIPOS!$A:$A,0))</f>
        <v>3</v>
      </c>
      <c r="AP32" s="31">
        <f>INDEX(TIPOS!F:F,MATCH($AF32,TIPOS!$A:$A,0))</f>
        <v>1</v>
      </c>
      <c r="AQ32" s="31">
        <f>INDEX(TIPOS!G:G,MATCH($AF32,TIPOS!$A:$A,0))</f>
        <v>1</v>
      </c>
      <c r="AR32" s="31">
        <f>INDEX(TIPOS!H:H,MATCH($AF32,TIPOS!$A:$A,0))</f>
        <v>1</v>
      </c>
      <c r="AS32" s="31">
        <f>INDEX(TIPOS!I:I,MATCH($AF32,TIPOS!$A:$A,0))</f>
        <v>1</v>
      </c>
      <c r="AT32" s="31"/>
      <c r="AU32" s="171"/>
      <c r="AV32" s="31"/>
      <c r="AW32" s="31"/>
      <c r="AX32" s="31"/>
      <c r="AZ32" s="31"/>
      <c r="BA32" s="31"/>
      <c r="BC32" s="31"/>
      <c r="BD32" s="31"/>
      <c r="BE32" s="31"/>
      <c r="BF32" s="31"/>
      <c r="BG32" s="31"/>
      <c r="BH32" s="31"/>
      <c r="BI32" s="31"/>
      <c r="BJ32" s="31"/>
      <c r="BK32" s="32"/>
      <c r="BL32" s="31"/>
    </row>
    <row r="33" spans="1:64" ht="18.75" customHeight="1" x14ac:dyDescent="0.2">
      <c r="A33" s="59"/>
      <c r="B33" s="59"/>
      <c r="C33" s="23"/>
      <c r="D33" s="59"/>
      <c r="E33" s="59"/>
      <c r="F33" s="59"/>
      <c r="G33" s="24"/>
      <c r="H33" s="153" t="s">
        <v>316</v>
      </c>
      <c r="I33" s="154"/>
      <c r="J33" s="154"/>
      <c r="K33" s="155"/>
      <c r="L33" s="156"/>
      <c r="M33" s="155"/>
      <c r="N33" s="156"/>
      <c r="O33" s="155"/>
      <c r="P33" s="157"/>
      <c r="Q33" s="158"/>
      <c r="R33" s="159"/>
      <c r="S33" s="159"/>
      <c r="T33" s="160"/>
      <c r="U33" s="161">
        <f>U31+U32</f>
        <v>2513.0890229782144</v>
      </c>
      <c r="V33" s="162">
        <v>5.0000000000000001E-3</v>
      </c>
      <c r="W33" s="163">
        <f>((AG33^2)/8)*(AV33-SIN(AV33))</f>
        <v>0.89141052958396338</v>
      </c>
      <c r="X33" s="163">
        <f>(AG33/2)*AV33</f>
        <v>2.4730290793588749</v>
      </c>
      <c r="Y33" s="164">
        <f>W33/X33</f>
        <v>0.36045291057194473</v>
      </c>
      <c r="Z33" s="161">
        <f>(1/AN33)*W33*Y33^(2/3)*V33^(1/2)*1000</f>
        <v>2455.7553608813569</v>
      </c>
      <c r="AA33" s="155">
        <f>(1/AN33)*Y33^(2/3)*V33^(1/2)</f>
        <v>2.7549095275187061</v>
      </c>
      <c r="AB33" s="155"/>
      <c r="AC33" s="163">
        <f>AW33</f>
        <v>0.88240795246101333</v>
      </c>
      <c r="AD33" s="156">
        <f>AH33/AA33/60</f>
        <v>6.0498054473963107E-2</v>
      </c>
      <c r="AE33" s="165"/>
      <c r="AF33" s="166" t="s">
        <v>317</v>
      </c>
      <c r="AG33" s="167">
        <v>1.2</v>
      </c>
      <c r="AH33" s="155">
        <v>10</v>
      </c>
      <c r="AI33" s="61"/>
      <c r="AL33" s="29" t="str">
        <f>INDEX(TIPOS!D:D,MATCH($AF33,TIPOS!$A:$A,0))</f>
        <v>Circular</v>
      </c>
      <c r="AM33" s="44" t="str">
        <f>INDEX(TIPOS!B:B,MATCH($AF33,TIPOS!$A:$A,0))</f>
        <v>Concreto</v>
      </c>
      <c r="AN33" s="30">
        <f>INDEX(TIPOS!C:C,MATCH($AF33,TIPOS!$A:$A,0))</f>
        <v>1.2999999999999999E-2</v>
      </c>
      <c r="AO33" s="31"/>
      <c r="AP33" s="31"/>
      <c r="AQ33" s="31">
        <f>INDEX(TIPOS!G:G,MATCH($AF33,TIPOS!$A:$A,0))</f>
        <v>1.02</v>
      </c>
      <c r="AR33" s="31"/>
      <c r="AS33" s="31"/>
      <c r="AT33" s="31"/>
      <c r="AU33" s="172">
        <f>U33/1000*AN33*AG33^(-8/3)*V33^(-1/2)</f>
        <v>0.2841294390221269</v>
      </c>
      <c r="AV33" s="168">
        <f>((3*PI())/2)*SQRT(1-SQRT(1-SQRT(PI()*AU33)))</f>
        <v>4.121715132264792</v>
      </c>
      <c r="AW33" s="169">
        <f>(AG33/2)*(1-COS(AV33/2))</f>
        <v>0.88240795246101333</v>
      </c>
      <c r="AX33" s="169">
        <f>AW33/AG33</f>
        <v>0.73533996038417782</v>
      </c>
      <c r="AZ33" s="31"/>
      <c r="BA33" s="31"/>
      <c r="BC33" s="31"/>
      <c r="BD33" s="31"/>
      <c r="BE33" s="31"/>
      <c r="BF33" s="31"/>
      <c r="BG33" s="31"/>
      <c r="BH33" s="31"/>
      <c r="BI33" s="31"/>
      <c r="BJ33" s="31"/>
      <c r="BK33" s="32"/>
      <c r="BL33" s="31"/>
    </row>
    <row r="34" spans="1:64" ht="18.75" customHeight="1" x14ac:dyDescent="0.2">
      <c r="A34" s="58"/>
      <c r="B34" s="59"/>
      <c r="C34" s="23"/>
      <c r="D34" s="59"/>
      <c r="E34" s="59"/>
      <c r="F34" s="59"/>
      <c r="G34" s="24"/>
      <c r="H34" s="24"/>
      <c r="I34" s="24"/>
      <c r="J34" s="24"/>
      <c r="K34" s="8"/>
      <c r="L34" s="26"/>
      <c r="M34" s="8"/>
      <c r="N34" s="26"/>
      <c r="O34" s="113"/>
      <c r="P34" s="8"/>
      <c r="Q34" s="26"/>
      <c r="R34" s="6"/>
      <c r="S34" s="6"/>
      <c r="T34" s="6"/>
      <c r="U34" s="146"/>
      <c r="V34" s="7"/>
      <c r="W34" s="8"/>
      <c r="X34" s="8"/>
      <c r="Y34" s="26"/>
      <c r="Z34" s="6"/>
      <c r="AA34" s="8"/>
      <c r="AB34" s="8"/>
      <c r="AC34" s="8"/>
      <c r="AD34" s="6"/>
      <c r="AE34" s="71"/>
      <c r="AF34" s="27"/>
      <c r="AG34" s="28"/>
      <c r="AH34" s="8"/>
      <c r="AI34" s="61"/>
      <c r="AL34" s="29"/>
      <c r="AM34" s="29"/>
      <c r="AN34" s="30"/>
      <c r="AO34" s="31"/>
      <c r="AP34" s="31"/>
      <c r="AQ34" s="31"/>
      <c r="AR34" s="31"/>
      <c r="AS34" s="31"/>
      <c r="AT34" s="31"/>
      <c r="AU34" s="171"/>
      <c r="AV34" s="31"/>
      <c r="AW34" s="31"/>
      <c r="AX34" s="31"/>
      <c r="AZ34" s="31"/>
      <c r="BA34" s="31"/>
      <c r="BC34" s="31"/>
      <c r="BD34" s="31"/>
      <c r="BE34" s="31"/>
      <c r="BF34" s="31"/>
      <c r="BG34" s="31"/>
      <c r="BH34" s="31"/>
      <c r="BI34" s="31"/>
      <c r="BJ34" s="31"/>
      <c r="BK34" s="32"/>
      <c r="BL34" s="31"/>
    </row>
    <row r="35" spans="1:64" ht="18.75" customHeight="1" x14ac:dyDescent="0.2">
      <c r="A35" s="58"/>
      <c r="B35" s="59"/>
      <c r="C35" s="23"/>
      <c r="D35" s="59"/>
      <c r="E35" s="59"/>
      <c r="F35" s="59"/>
      <c r="G35" s="24"/>
      <c r="H35" s="84" t="s">
        <v>299</v>
      </c>
      <c r="I35" s="83">
        <v>123.271</v>
      </c>
      <c r="J35" s="83">
        <v>117.28400000000001</v>
      </c>
      <c r="K35" s="8"/>
      <c r="L35" s="26"/>
      <c r="M35" s="8">
        <f t="shared" si="71"/>
        <v>0.2</v>
      </c>
      <c r="N35" s="26">
        <v>4.1520000000000001</v>
      </c>
      <c r="O35" s="113">
        <v>60</v>
      </c>
      <c r="P35" s="66">
        <f t="shared" ref="P35" si="88">(K35*L35+M35*N35)/(L35+N35)</f>
        <v>0.2</v>
      </c>
      <c r="Q35" s="67">
        <f t="shared" ref="Q35" si="89">L35+N35</f>
        <v>4.1520000000000001</v>
      </c>
      <c r="R35" s="68">
        <v>5</v>
      </c>
      <c r="S35" s="69">
        <f>($V$3*$X$45^$W$3)/(R35+$X$3)^$Y$3</f>
        <v>209.47257427000611</v>
      </c>
      <c r="T35" s="70">
        <f t="shared" ref="T35" si="90">P35*Q35*S35*2.77777777777778</f>
        <v>483.18340464948113</v>
      </c>
      <c r="U35" s="147">
        <f t="shared" ref="U35" si="91">T35</f>
        <v>483.18340464948113</v>
      </c>
      <c r="V35" s="77">
        <f>(I35-J35)/AH35</f>
        <v>3.1677248677248651E-2</v>
      </c>
      <c r="W35" s="78">
        <f t="shared" ref="W35" si="92">AP35*AC35+AR35*AC35^2</f>
        <v>0.26978245799395068</v>
      </c>
      <c r="X35" s="78">
        <f t="shared" ref="X35" si="93">AP35+2*AC35*SQRT(1+AR35^2)</f>
        <v>1.6249675634594303</v>
      </c>
      <c r="Y35" s="93">
        <f t="shared" ref="Y35" si="94">W35/X35</f>
        <v>0.16602328813235182</v>
      </c>
      <c r="Z35" s="70">
        <f>W35*(1/AN35)*Y35^(2/3)*V35^(1/2)*1000</f>
        <v>483.48037850122341</v>
      </c>
      <c r="AA35" s="74">
        <f>(1/AN35)*Y35^(2/3)*V35^(1/2)</f>
        <v>1.7921119931084049</v>
      </c>
      <c r="AB35" s="74">
        <f xml:space="preserve"> (AP35 + AR35*AC35) * AC35 * ( ((AP35 + AR35*AC35) * AC35) / (AP35 + 2*AC35*SQRT(1 + AR35^2)) )^(2/3) - (U35/1000)*AN35*V35^(-1/2)</f>
        <v>5.0057106209630553E-5</v>
      </c>
      <c r="AC35" s="78">
        <v>0.22095940107189854</v>
      </c>
      <c r="AD35" s="70">
        <f t="shared" ref="AD35" si="95">AH35/AA35/60</f>
        <v>1.7577026503440494</v>
      </c>
      <c r="AE35" s="76">
        <f>((Z35/1000)/(S35/3600000))</f>
        <v>8309.1037987669715</v>
      </c>
      <c r="AF35" s="55" t="s">
        <v>330</v>
      </c>
      <c r="AG35" s="28" t="str">
        <f>INDEX(TIPOS!K:K,MATCH($AF35,TIPOS!$A:$A,0))</f>
        <v>- 1,00 x 0,30</v>
      </c>
      <c r="AH35" s="8">
        <v>189</v>
      </c>
      <c r="AI35" s="61">
        <f>IF(A35&lt;E35,(((E35*20)+G35)-((A35*20)+C35)),(((A35*20)+C35)-((E35*20)+G35)))</f>
        <v>0</v>
      </c>
      <c r="AJ35" s="21" t="str">
        <f t="shared" ref="AJ35" si="96">IF(AE35&gt;=AH35,"OK","REVER")</f>
        <v>OK</v>
      </c>
      <c r="AK35" s="21" t="str">
        <f t="shared" ref="AK35" si="97">IF(AC35&lt;=AQ35,"OK","REVER")</f>
        <v>OK</v>
      </c>
      <c r="AL35" s="29" t="str">
        <f>INDEX(TIPOS!D:D,MATCH($AF35,TIPOS!$A:$A,0))</f>
        <v>Trapezoidal</v>
      </c>
      <c r="AM35" s="44" t="str">
        <f>INDEX(TIPOS!B:B,MATCH($AF35,TIPOS!$A:$A,0))</f>
        <v>Grama</v>
      </c>
      <c r="AN35" s="30">
        <f>INDEX(TIPOS!C:C,MATCH($AF35,TIPOS!$A:$A,0))</f>
        <v>0.03</v>
      </c>
      <c r="AO35" s="31">
        <f>INDEX(TIPOS!E:E,MATCH($AF35,TIPOS!$A:$A,0))</f>
        <v>1.6</v>
      </c>
      <c r="AP35" s="31">
        <f>INDEX(TIPOS!F:F,MATCH($AF35,TIPOS!$A:$A,0))</f>
        <v>1</v>
      </c>
      <c r="AQ35" s="31">
        <f>INDEX(TIPOS!G:G,MATCH($AF35,TIPOS!$A:$A,0))</f>
        <v>0.3</v>
      </c>
      <c r="AR35" s="31">
        <f>INDEX(TIPOS!H:H,MATCH($AF35,TIPOS!$A:$A,0))</f>
        <v>1.0000000000000002</v>
      </c>
      <c r="AS35" s="31">
        <f>INDEX(TIPOS!I:I,MATCH($AF35,TIPOS!$A:$A,0))</f>
        <v>1.0000000000000002</v>
      </c>
      <c r="AT35" s="31"/>
      <c r="AU35" s="171"/>
      <c r="AV35" s="31"/>
      <c r="AW35" s="31"/>
      <c r="AX35" s="31"/>
      <c r="AZ35" s="31"/>
      <c r="BA35" s="31"/>
      <c r="BC35" s="31"/>
      <c r="BD35" s="31"/>
      <c r="BE35" s="31"/>
      <c r="BF35" s="31"/>
      <c r="BG35" s="31"/>
      <c r="BH35" s="31"/>
      <c r="BI35" s="31"/>
      <c r="BJ35" s="31"/>
      <c r="BK35" s="32"/>
      <c r="BL35" s="31"/>
    </row>
    <row r="36" spans="1:64" ht="18.75" customHeight="1" x14ac:dyDescent="0.2">
      <c r="A36" s="59"/>
      <c r="B36" s="59"/>
      <c r="C36" s="23"/>
      <c r="D36" s="59"/>
      <c r="E36" s="59"/>
      <c r="F36" s="59"/>
      <c r="G36" s="24"/>
      <c r="H36" s="153" t="s">
        <v>319</v>
      </c>
      <c r="I36" s="154"/>
      <c r="J36" s="154"/>
      <c r="K36" s="155"/>
      <c r="L36" s="156"/>
      <c r="M36" s="155"/>
      <c r="N36" s="156"/>
      <c r="O36" s="155"/>
      <c r="P36" s="157"/>
      <c r="Q36" s="158"/>
      <c r="R36" s="159"/>
      <c r="S36" s="159"/>
      <c r="T36" s="160"/>
      <c r="U36" s="161">
        <f>U35</f>
        <v>483.18340464948113</v>
      </c>
      <c r="V36" s="162">
        <v>5.0000000000000001E-3</v>
      </c>
      <c r="W36" s="163">
        <f>((AG36^2)/8)*(AV36-SIN(AV36))</f>
        <v>0.2615562731325804</v>
      </c>
      <c r="X36" s="163">
        <f>(AG36/2)*AV36</f>
        <v>1.2822179303244017</v>
      </c>
      <c r="Y36" s="164">
        <f>W36/X36</f>
        <v>0.20398737761092339</v>
      </c>
      <c r="Z36" s="161">
        <f>(1/AN36)*W36*Y36^(2/3)*V36^(1/2)*1000</f>
        <v>492.99477940875431</v>
      </c>
      <c r="AA36" s="155">
        <f>(1/AN36)*Y36^(2/3)*V36^(1/2)</f>
        <v>1.884851674571995</v>
      </c>
      <c r="AB36" s="155"/>
      <c r="AC36" s="163">
        <f>AW36</f>
        <v>0.41278825491624249</v>
      </c>
      <c r="AD36" s="156">
        <f>AH36/AA36/60</f>
        <v>0.11495157395653773</v>
      </c>
      <c r="AE36" s="165"/>
      <c r="AF36" s="166" t="s">
        <v>308</v>
      </c>
      <c r="AG36" s="167">
        <v>0.8</v>
      </c>
      <c r="AH36" s="155">
        <v>13</v>
      </c>
      <c r="AI36" s="61"/>
      <c r="AL36" s="25" t="str">
        <f>INDEX(TIPOS!D:D,MATCH($AF36,TIPOS!$A:$A,0))</f>
        <v>Circular</v>
      </c>
      <c r="AM36" s="170" t="str">
        <f>INDEX(TIPOS!B:B,MATCH($AF36,TIPOS!$A:$A,0))</f>
        <v>Concreto</v>
      </c>
      <c r="AN36" s="26">
        <f>INDEX(TIPOS!C:C,MATCH($AF36,TIPOS!$A:$A,0))</f>
        <v>1.2999999999999999E-2</v>
      </c>
      <c r="AO36" s="31"/>
      <c r="AP36" s="31"/>
      <c r="AQ36" s="169">
        <f>INDEX(TIPOS!G:G,MATCH($AF36,TIPOS!$A:$A,0))</f>
        <v>0.68</v>
      </c>
      <c r="AR36" s="31"/>
      <c r="AS36" s="31"/>
      <c r="AT36" s="31"/>
      <c r="AU36" s="172">
        <f>U36/1000*AN36*AG36^(-8/3)*V36^(-1/2)</f>
        <v>0.16106347360328821</v>
      </c>
      <c r="AV36" s="168">
        <f>((3*PI())/2)*SQRT(1-SQRT(1-SQRT(PI()*AU36)))</f>
        <v>3.2055448258110042</v>
      </c>
      <c r="AW36" s="169">
        <f>(AG36/2)*(1-COS(AV36/2))</f>
        <v>0.41278825491624249</v>
      </c>
      <c r="AX36" s="169">
        <f>AW36/AG36</f>
        <v>0.51598531864530306</v>
      </c>
      <c r="AZ36" s="31"/>
      <c r="BA36" s="31"/>
      <c r="BC36" s="31"/>
      <c r="BD36" s="31"/>
      <c r="BE36" s="31"/>
      <c r="BF36" s="31"/>
      <c r="BG36" s="31"/>
      <c r="BH36" s="31"/>
      <c r="BI36" s="31"/>
      <c r="BJ36" s="31"/>
      <c r="BK36" s="32"/>
      <c r="BL36" s="31"/>
    </row>
    <row r="37" spans="1:64" ht="18.75" customHeight="1" x14ac:dyDescent="0.2">
      <c r="A37" s="58"/>
      <c r="B37" s="59"/>
      <c r="C37" s="23"/>
      <c r="D37" s="59"/>
      <c r="E37" s="59"/>
      <c r="F37" s="59"/>
      <c r="G37" s="24"/>
      <c r="H37" s="24"/>
      <c r="I37" s="24"/>
      <c r="J37" s="24"/>
      <c r="K37" s="8"/>
      <c r="L37" s="26"/>
      <c r="M37" s="8"/>
      <c r="N37" s="26"/>
      <c r="O37" s="113"/>
      <c r="P37" s="8"/>
      <c r="Q37" s="26"/>
      <c r="R37" s="6"/>
      <c r="S37" s="6"/>
      <c r="T37" s="6"/>
      <c r="U37" s="146"/>
      <c r="V37" s="7"/>
      <c r="W37" s="8"/>
      <c r="X37" s="8"/>
      <c r="Y37" s="26"/>
      <c r="Z37" s="6"/>
      <c r="AA37" s="8"/>
      <c r="AB37" s="8"/>
      <c r="AC37" s="8"/>
      <c r="AD37" s="6"/>
      <c r="AE37" s="71"/>
      <c r="AF37" s="27"/>
      <c r="AG37" s="28"/>
      <c r="AH37" s="8"/>
      <c r="AI37" s="61"/>
      <c r="AL37" s="29"/>
      <c r="AM37" s="29"/>
      <c r="AN37" s="30"/>
      <c r="AO37" s="31"/>
      <c r="AP37" s="31"/>
      <c r="AQ37" s="31"/>
      <c r="AR37" s="31"/>
      <c r="AS37" s="31"/>
      <c r="AT37" s="31"/>
      <c r="AU37" s="171"/>
      <c r="AV37" s="31"/>
      <c r="AW37" s="31"/>
      <c r="AX37" s="31"/>
      <c r="AZ37" s="31"/>
      <c r="BA37" s="31"/>
      <c r="BC37" s="31"/>
      <c r="BD37" s="31"/>
      <c r="BE37" s="31"/>
      <c r="BF37" s="31"/>
      <c r="BG37" s="31"/>
      <c r="BH37" s="31"/>
      <c r="BI37" s="31"/>
      <c r="BJ37" s="31"/>
      <c r="BK37" s="32"/>
      <c r="BL37" s="31"/>
    </row>
    <row r="38" spans="1:64" ht="18.75" customHeight="1" x14ac:dyDescent="0.2">
      <c r="A38" s="58"/>
      <c r="B38" s="59"/>
      <c r="C38" s="23"/>
      <c r="D38" s="59"/>
      <c r="E38" s="59"/>
      <c r="F38" s="59"/>
      <c r="G38" s="24"/>
      <c r="H38" s="84" t="s">
        <v>300</v>
      </c>
      <c r="I38" s="83">
        <v>123.271</v>
      </c>
      <c r="J38" s="83">
        <v>118.04900000000001</v>
      </c>
      <c r="K38" s="8"/>
      <c r="L38" s="26"/>
      <c r="M38" s="8">
        <f t="shared" si="71"/>
        <v>0.2</v>
      </c>
      <c r="N38" s="26">
        <v>1.8759999999999999</v>
      </c>
      <c r="O38" s="113">
        <v>60</v>
      </c>
      <c r="P38" s="66">
        <f t="shared" ref="P38" si="98">(K38*L38+M38*N38)/(L38+N38)</f>
        <v>0.2</v>
      </c>
      <c r="Q38" s="67">
        <f t="shared" ref="Q38" si="99">L38+N38</f>
        <v>1.8759999999999999</v>
      </c>
      <c r="R38" s="68">
        <v>5</v>
      </c>
      <c r="S38" s="69">
        <f>($V$3*$X$45^$W$3)/(R38+$X$3)^$Y$3</f>
        <v>209.47257427000611</v>
      </c>
      <c r="T38" s="70">
        <f t="shared" ref="T38" si="100">P38*Q38*S38*2.77777777777778</f>
        <v>218.31697185029537</v>
      </c>
      <c r="U38" s="147">
        <f t="shared" ref="U38" si="101">T38</f>
        <v>218.31697185029537</v>
      </c>
      <c r="V38" s="77">
        <f>(I38-J38)/AH38</f>
        <v>4.7908256880733892E-2</v>
      </c>
      <c r="W38" s="78">
        <f t="shared" ref="W38" si="102">AP38*AC38+AR38*AC38^2</f>
        <v>0.12419061025062172</v>
      </c>
      <c r="X38" s="78">
        <f t="shared" ref="X38" si="103">AP38+2*AC38*SQRT(1+AR38^2)</f>
        <v>1.0604886241208429</v>
      </c>
      <c r="Y38" s="93">
        <f t="shared" ref="Y38" si="104">W38/X38</f>
        <v>0.1171069707169911</v>
      </c>
      <c r="Z38" s="70">
        <f>W38*(1/AN38)*Y38^(2/3)*V38^(1/2)*1000</f>
        <v>216.88417052264026</v>
      </c>
      <c r="AA38" s="74">
        <f>(1/AN38)*Y38^(2/3)*V38^(1/2)</f>
        <v>1.7463813897440326</v>
      </c>
      <c r="AB38" s="74">
        <f xml:space="preserve"> (AP38 + AR38*AC38) * AC38 * ( ((AP38 + AR38*AC38) * AC38) / (AP38 + 2*AC38*SQRT(1 + AR38^2)) )^(2/3) - (U38/1000)*AN38*V38^(-1/2)</f>
        <v>-1.9638216574494743E-4</v>
      </c>
      <c r="AC38" s="78">
        <v>0.16280731438755561</v>
      </c>
      <c r="AD38" s="70">
        <f t="shared" ref="AD38" si="105">AH38/AA38/60</f>
        <v>1.040246235636384</v>
      </c>
      <c r="AE38" s="76">
        <f>((Z38/1000)/(S38/3600000))</f>
        <v>3727.3758467067423</v>
      </c>
      <c r="AF38" s="55" t="s">
        <v>331</v>
      </c>
      <c r="AG38" s="28" t="str">
        <f>INDEX(TIPOS!K:K,MATCH($AF38,TIPOS!$A:$A,0))</f>
        <v>- 0,60 x 0,30</v>
      </c>
      <c r="AH38" s="8">
        <v>109</v>
      </c>
      <c r="AI38" s="61">
        <f>IF(A38&lt;E38,(((E38*20)+G38)-((A38*20)+C38)),(((A38*20)+C38)-((E38*20)+G38)))</f>
        <v>0</v>
      </c>
      <c r="AJ38" s="21" t="str">
        <f t="shared" ref="AJ38" si="106">IF(AE38&gt;=AH38,"OK","REVER")</f>
        <v>OK</v>
      </c>
      <c r="AK38" s="21" t="str">
        <f t="shared" ref="AK38" si="107">IF(AC38&lt;=AQ38,"OK","REVER")</f>
        <v>OK</v>
      </c>
      <c r="AL38" s="29" t="str">
        <f>INDEX(TIPOS!D:D,MATCH($AF38,TIPOS!$A:$A,0))</f>
        <v>Trapezoidal</v>
      </c>
      <c r="AM38" s="44" t="str">
        <f>INDEX(TIPOS!B:B,MATCH($AF38,TIPOS!$A:$A,0))</f>
        <v>Grama</v>
      </c>
      <c r="AN38" s="30">
        <f>INDEX(TIPOS!C:C,MATCH($AF38,TIPOS!$A:$A,0))</f>
        <v>0.03</v>
      </c>
      <c r="AO38" s="31">
        <f>INDEX(TIPOS!E:E,MATCH($AF38,TIPOS!$A:$A,0))</f>
        <v>1.2</v>
      </c>
      <c r="AP38" s="31">
        <f>INDEX(TIPOS!F:F,MATCH($AF38,TIPOS!$A:$A,0))</f>
        <v>0.6</v>
      </c>
      <c r="AQ38" s="31">
        <f>INDEX(TIPOS!G:G,MATCH($AF38,TIPOS!$A:$A,0))</f>
        <v>0.3</v>
      </c>
      <c r="AR38" s="31">
        <f>INDEX(TIPOS!H:H,MATCH($AF38,TIPOS!$A:$A,0))</f>
        <v>1</v>
      </c>
      <c r="AS38" s="31">
        <f>INDEX(TIPOS!I:I,MATCH($AF38,TIPOS!$A:$A,0))</f>
        <v>1</v>
      </c>
      <c r="AT38" s="31"/>
      <c r="AU38" s="171"/>
      <c r="AV38" s="31"/>
      <c r="AW38" s="31"/>
      <c r="AX38" s="31"/>
      <c r="AZ38" s="31"/>
      <c r="BA38" s="31"/>
      <c r="BC38" s="31"/>
      <c r="BD38" s="31"/>
      <c r="BE38" s="31"/>
      <c r="BF38" s="31"/>
      <c r="BG38" s="31"/>
      <c r="BH38" s="31"/>
      <c r="BI38" s="31"/>
      <c r="BJ38" s="31"/>
      <c r="BK38" s="32"/>
      <c r="BL38" s="31"/>
    </row>
    <row r="39" spans="1:64" ht="18.75" customHeight="1" x14ac:dyDescent="0.2">
      <c r="A39" s="58"/>
      <c r="B39" s="59"/>
      <c r="C39" s="23"/>
      <c r="D39" s="59"/>
      <c r="E39" s="59"/>
      <c r="F39" s="59"/>
      <c r="G39" s="24"/>
      <c r="H39" s="84" t="s">
        <v>301</v>
      </c>
      <c r="I39" s="83">
        <v>123.90600000000001</v>
      </c>
      <c r="J39" s="83">
        <v>118.04900000000001</v>
      </c>
      <c r="K39" s="8"/>
      <c r="L39" s="26"/>
      <c r="M39" s="8">
        <f t="shared" si="71"/>
        <v>0.2</v>
      </c>
      <c r="N39" s="26">
        <v>1.8660000000000001</v>
      </c>
      <c r="O39" s="113">
        <v>60</v>
      </c>
      <c r="P39" s="66">
        <f t="shared" ref="P39" si="108">(K39*L39+M39*N39)/(L39+N39)</f>
        <v>0.2</v>
      </c>
      <c r="Q39" s="67">
        <f t="shared" ref="Q39" si="109">L39+N39</f>
        <v>1.8660000000000001</v>
      </c>
      <c r="R39" s="68">
        <v>5</v>
      </c>
      <c r="S39" s="69">
        <f>($V$3*$X$45^$W$3)/(R39+$X$3)^$Y$3</f>
        <v>209.47257427000611</v>
      </c>
      <c r="T39" s="70">
        <f t="shared" ref="T39" si="110">P39*Q39*S39*2.77777777777778</f>
        <v>217.1532353265732</v>
      </c>
      <c r="U39" s="147">
        <f t="shared" ref="U39" si="111">T39</f>
        <v>217.1532353265732</v>
      </c>
      <c r="V39" s="77">
        <f>(I39-J39)/AH39</f>
        <v>3.7787096774193542E-2</v>
      </c>
      <c r="W39" s="78">
        <f t="shared" ref="W39" si="112">AP39*AC39+AR39*AC39^2</f>
        <v>0.13405269648838802</v>
      </c>
      <c r="X39" s="78">
        <f t="shared" ref="X39" si="113">AP39+2*AC39*SQRT(1+AR39^2)</f>
        <v>1.0902853566473314</v>
      </c>
      <c r="Y39" s="93">
        <f t="shared" ref="Y39" si="114">W39/X39</f>
        <v>0.12295193700537731</v>
      </c>
      <c r="Z39" s="70">
        <f>W39*(1/AN39)*Y39^(2/3)*V39^(1/2)*1000</f>
        <v>214.77462984831786</v>
      </c>
      <c r="AA39" s="74">
        <f>(1/AN39)*Y39^(2/3)*V39^(1/2)</f>
        <v>1.6021656816647638</v>
      </c>
      <c r="AB39" s="74">
        <f xml:space="preserve"> (AP39 + AR39*AC39) * AC39 * ( ((AP39 + AR39*AC39) * AC39) / (AP39 + 2*AC39*SQRT(1 + AR39^2)) )^(2/3) - (U39/1000)*AN39*V39^(-1/2)</f>
        <v>-3.6708945282383498E-4</v>
      </c>
      <c r="AC39" s="78">
        <v>0.17334205020089649</v>
      </c>
      <c r="AD39" s="70">
        <f t="shared" ref="AD39" si="115">AH39/AA39/60</f>
        <v>1.612400866462866</v>
      </c>
      <c r="AE39" s="76">
        <f>((3.6*10^6)*W39*(Y39^(2/3))*(V39^(1/2)))/(AN39*P39*S39*O39)</f>
        <v>307.59343641541955</v>
      </c>
      <c r="AF39" s="55" t="s">
        <v>331</v>
      </c>
      <c r="AG39" s="28" t="str">
        <f>INDEX(TIPOS!K:K,MATCH($AF39,TIPOS!$A:$A,0))</f>
        <v>- 0,60 x 0,30</v>
      </c>
      <c r="AH39" s="8">
        <v>155</v>
      </c>
      <c r="AI39" s="61">
        <f>IF(A39&lt;E39,(((E39*20)+G39)-((A39*20)+C39)),(((A39*20)+C39)-((E39*20)+G39)))</f>
        <v>0</v>
      </c>
      <c r="AJ39" s="21" t="str">
        <f t="shared" ref="AJ39" si="116">IF(AE39&gt;=AH39,"OK","REVER")</f>
        <v>OK</v>
      </c>
      <c r="AK39" s="21" t="str">
        <f t="shared" ref="AK39" si="117">IF(AC39&lt;=AQ39,"OK","REVER")</f>
        <v>OK</v>
      </c>
      <c r="AL39" s="29" t="str">
        <f>INDEX(TIPOS!D:D,MATCH($AF39,TIPOS!$A:$A,0))</f>
        <v>Trapezoidal</v>
      </c>
      <c r="AM39" s="44" t="str">
        <f>INDEX(TIPOS!B:B,MATCH($AF39,TIPOS!$A:$A,0))</f>
        <v>Grama</v>
      </c>
      <c r="AN39" s="30">
        <f>INDEX(TIPOS!C:C,MATCH($AF39,TIPOS!$A:$A,0))</f>
        <v>0.03</v>
      </c>
      <c r="AO39" s="31">
        <f>INDEX(TIPOS!E:E,MATCH($AF39,TIPOS!$A:$A,0))</f>
        <v>1.2</v>
      </c>
      <c r="AP39" s="31">
        <f>INDEX(TIPOS!F:F,MATCH($AF39,TIPOS!$A:$A,0))</f>
        <v>0.6</v>
      </c>
      <c r="AQ39" s="31">
        <f>INDEX(TIPOS!G:G,MATCH($AF39,TIPOS!$A:$A,0))</f>
        <v>0.3</v>
      </c>
      <c r="AR39" s="31">
        <f>INDEX(TIPOS!H:H,MATCH($AF39,TIPOS!$A:$A,0))</f>
        <v>1</v>
      </c>
      <c r="AS39" s="31">
        <f>INDEX(TIPOS!I:I,MATCH($AF39,TIPOS!$A:$A,0))</f>
        <v>1</v>
      </c>
      <c r="AT39" s="31"/>
      <c r="AU39" s="171"/>
      <c r="AV39" s="31"/>
      <c r="AW39" s="31"/>
      <c r="AX39" s="31"/>
      <c r="AZ39" s="31"/>
      <c r="BA39" s="31"/>
      <c r="BC39" s="31"/>
      <c r="BD39" s="31"/>
      <c r="BE39" s="31"/>
      <c r="BF39" s="31"/>
      <c r="BG39" s="31"/>
      <c r="BH39" s="31"/>
      <c r="BI39" s="31"/>
      <c r="BJ39" s="31"/>
      <c r="BK39" s="32"/>
      <c r="BL39" s="31"/>
    </row>
    <row r="40" spans="1:64" ht="18.75" customHeight="1" x14ac:dyDescent="0.2">
      <c r="A40" s="59"/>
      <c r="B40" s="59"/>
      <c r="C40" s="23"/>
      <c r="D40" s="59"/>
      <c r="E40" s="59"/>
      <c r="F40" s="59"/>
      <c r="G40" s="24"/>
      <c r="H40" s="153" t="s">
        <v>320</v>
      </c>
      <c r="I40" s="154"/>
      <c r="J40" s="154"/>
      <c r="K40" s="155"/>
      <c r="L40" s="156"/>
      <c r="M40" s="155"/>
      <c r="N40" s="156"/>
      <c r="O40" s="155"/>
      <c r="P40" s="157"/>
      <c r="Q40" s="158"/>
      <c r="R40" s="159"/>
      <c r="S40" s="159"/>
      <c r="T40" s="160"/>
      <c r="U40" s="161">
        <f>U38+U39</f>
        <v>435.4702071768686</v>
      </c>
      <c r="V40" s="162">
        <v>5.0000000000000001E-3</v>
      </c>
      <c r="W40" s="163">
        <f>((AG40^2)/8)*(AV40-SIN(AV40))</f>
        <v>0.24558555167544396</v>
      </c>
      <c r="X40" s="163">
        <f>(AG40/2)*AV40</f>
        <v>1.3450591995191441</v>
      </c>
      <c r="Y40" s="164">
        <f>W40/X40</f>
        <v>0.18258345191292719</v>
      </c>
      <c r="Z40" s="161">
        <f>(1/AN40)*W40*Y40^(2/3)*V40^(1/2)*1000</f>
        <v>429.91777850536397</v>
      </c>
      <c r="AA40" s="155">
        <f>(1/AN40)*Y40^(2/3)*V40^(1/2)</f>
        <v>1.7505825386402456</v>
      </c>
      <c r="AB40" s="155"/>
      <c r="AC40" s="163">
        <f>AW40</f>
        <v>0.48652356691934623</v>
      </c>
      <c r="AD40" s="156">
        <f>AH40/AA40/60</f>
        <v>9.5206403004638673E-2</v>
      </c>
      <c r="AE40" s="165"/>
      <c r="AF40" s="166" t="s">
        <v>307</v>
      </c>
      <c r="AG40" s="167">
        <v>0.6</v>
      </c>
      <c r="AH40" s="155">
        <v>10</v>
      </c>
      <c r="AI40" s="61"/>
      <c r="AL40" s="29" t="str">
        <f>INDEX(TIPOS!D:D,MATCH($AF40,TIPOS!$A:$A,0))</f>
        <v>Circular</v>
      </c>
      <c r="AM40" s="44" t="str">
        <f>INDEX(TIPOS!B:B,MATCH($AF40,TIPOS!$A:$A,0))</f>
        <v>Concreto</v>
      </c>
      <c r="AN40" s="30">
        <f>INDEX(TIPOS!C:C,MATCH($AF40,TIPOS!$A:$A,0))</f>
        <v>1.2999999999999999E-2</v>
      </c>
      <c r="AO40" s="31"/>
      <c r="AP40" s="31"/>
      <c r="AQ40" s="31">
        <f>INDEX(TIPOS!G:G,MATCH($AF40,TIPOS!$A:$A,0))</f>
        <v>0.51</v>
      </c>
      <c r="AR40" s="31"/>
      <c r="AS40" s="31"/>
      <c r="AT40" s="31"/>
      <c r="AU40" s="172">
        <f>U40/1000*AN40*AG40^(-8/3)*V40^(-1/2)</f>
        <v>0.31261762816069066</v>
      </c>
      <c r="AV40" s="168">
        <f>((3*PI())/2)*SQRT(1-SQRT(1-SQRT(PI()*AU40)))</f>
        <v>4.4835306650638138</v>
      </c>
      <c r="AW40" s="169">
        <f>(AG40/2)*(1-COS(AV40/2))</f>
        <v>0.48652356691934623</v>
      </c>
      <c r="AX40" s="169">
        <f>AW40/AG40</f>
        <v>0.81087261153224377</v>
      </c>
      <c r="AZ40" s="31"/>
      <c r="BA40" s="31"/>
      <c r="BC40" s="31"/>
      <c r="BD40" s="31"/>
      <c r="BE40" s="31"/>
      <c r="BF40" s="31"/>
      <c r="BG40" s="31"/>
      <c r="BH40" s="31"/>
      <c r="BI40" s="31"/>
      <c r="BJ40" s="31"/>
      <c r="BK40" s="32"/>
      <c r="BL40" s="31"/>
    </row>
    <row r="41" spans="1:64" ht="18.75" customHeight="1" x14ac:dyDescent="0.2">
      <c r="A41" s="58"/>
      <c r="B41" s="59"/>
      <c r="C41" s="23"/>
      <c r="D41" s="59"/>
      <c r="E41" s="59"/>
      <c r="F41" s="59"/>
      <c r="G41" s="24"/>
      <c r="H41" s="24"/>
      <c r="I41" s="24"/>
      <c r="J41" s="24"/>
      <c r="K41" s="8"/>
      <c r="L41" s="26"/>
      <c r="M41" s="8"/>
      <c r="N41" s="26"/>
      <c r="O41" s="113"/>
      <c r="P41" s="8"/>
      <c r="Q41" s="26"/>
      <c r="R41" s="6"/>
      <c r="S41" s="6"/>
      <c r="T41" s="6"/>
      <c r="U41" s="146"/>
      <c r="V41" s="7"/>
      <c r="W41" s="8"/>
      <c r="X41" s="8"/>
      <c r="Y41" s="26"/>
      <c r="Z41" s="6"/>
      <c r="AA41" s="8"/>
      <c r="AB41" s="8"/>
      <c r="AC41" s="8"/>
      <c r="AD41" s="6"/>
      <c r="AE41" s="71"/>
      <c r="AF41" s="27"/>
      <c r="AG41" s="28"/>
      <c r="AH41" s="8"/>
      <c r="AI41" s="61"/>
      <c r="AL41" s="29"/>
      <c r="AM41" s="29"/>
      <c r="AN41" s="30"/>
      <c r="AO41" s="31"/>
      <c r="AP41" s="31"/>
      <c r="AQ41" s="31"/>
      <c r="AR41" s="31"/>
      <c r="AS41" s="31"/>
      <c r="AT41" s="31"/>
      <c r="AU41" s="171"/>
      <c r="AV41" s="31"/>
      <c r="AW41" s="31"/>
      <c r="AX41" s="31"/>
      <c r="AZ41" s="31"/>
      <c r="BA41" s="31"/>
      <c r="BC41" s="31"/>
      <c r="BD41" s="31"/>
      <c r="BE41" s="31"/>
      <c r="BF41" s="31"/>
      <c r="BG41" s="31"/>
      <c r="BH41" s="31"/>
      <c r="BI41" s="31"/>
      <c r="BJ41" s="31"/>
      <c r="BK41" s="32"/>
      <c r="BL41" s="31"/>
    </row>
    <row r="42" spans="1:64" ht="15" hidden="1" customHeight="1" x14ac:dyDescent="0.2">
      <c r="A42" s="60" t="s">
        <v>220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3" t="s">
        <v>184</v>
      </c>
      <c r="N42" s="34"/>
      <c r="O42" s="34"/>
      <c r="P42" s="35"/>
      <c r="Q42" s="34"/>
      <c r="R42" s="33" t="s">
        <v>213</v>
      </c>
      <c r="S42" s="34"/>
      <c r="T42" s="34"/>
      <c r="U42" s="34"/>
      <c r="V42" s="54"/>
      <c r="W42" s="53"/>
      <c r="X42" s="46" t="s">
        <v>189</v>
      </c>
      <c r="Y42" s="47"/>
      <c r="Z42" s="33" t="s">
        <v>185</v>
      </c>
      <c r="AA42" s="34"/>
      <c r="AB42" s="34"/>
      <c r="AC42" s="34"/>
      <c r="AD42" s="36"/>
      <c r="AE42" s="36"/>
      <c r="AF42" s="37" t="s">
        <v>187</v>
      </c>
      <c r="AG42" s="33" t="s">
        <v>186</v>
      </c>
      <c r="AH42" s="37" t="s">
        <v>188</v>
      </c>
      <c r="AI42" s="10"/>
    </row>
    <row r="43" spans="1:64" ht="15" hidden="1" customHeight="1" x14ac:dyDescent="0.2">
      <c r="A43" s="38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39"/>
      <c r="R43" s="201"/>
      <c r="S43" s="202"/>
      <c r="T43" s="202"/>
      <c r="U43" s="202"/>
      <c r="V43" s="202"/>
      <c r="W43" s="203"/>
      <c r="X43" s="207" t="s">
        <v>208</v>
      </c>
      <c r="Y43" s="208"/>
      <c r="Z43" s="39"/>
      <c r="AD43" s="50"/>
      <c r="AE43" s="50"/>
      <c r="AF43" s="40"/>
      <c r="AG43" s="39"/>
      <c r="AH43" s="40"/>
    </row>
    <row r="44" spans="1:64" ht="15" hidden="1" customHeight="1" x14ac:dyDescent="0.2">
      <c r="A44" s="39"/>
      <c r="D44" s="209"/>
      <c r="E44" s="209"/>
      <c r="F44" s="209"/>
      <c r="G44" s="209"/>
      <c r="H44" s="63"/>
      <c r="I44" s="63"/>
      <c r="J44" s="63"/>
      <c r="K44" s="209"/>
      <c r="L44" s="210"/>
      <c r="M44" s="11"/>
      <c r="N44" s="12"/>
      <c r="O44" s="12"/>
      <c r="Q44" s="13"/>
      <c r="R44" s="201"/>
      <c r="S44" s="202"/>
      <c r="T44" s="202"/>
      <c r="U44" s="202"/>
      <c r="V44" s="202"/>
      <c r="W44" s="203"/>
      <c r="X44" s="46" t="s">
        <v>190</v>
      </c>
      <c r="Y44" s="47"/>
      <c r="Z44" s="196"/>
      <c r="AA44" s="197"/>
      <c r="AB44" s="197"/>
      <c r="AC44" s="197"/>
      <c r="AD44" s="198"/>
      <c r="AE44" s="64"/>
      <c r="AF44" s="14"/>
      <c r="AG44" s="51"/>
      <c r="AH44" s="45"/>
      <c r="AI44" s="89"/>
    </row>
    <row r="45" spans="1:64" ht="15" hidden="1" customHeight="1" x14ac:dyDescent="0.2">
      <c r="A45" s="41"/>
      <c r="B45" s="42"/>
      <c r="C45" s="42"/>
      <c r="D45" s="199"/>
      <c r="E45" s="199"/>
      <c r="F45" s="199"/>
      <c r="G45" s="199"/>
      <c r="H45" s="65"/>
      <c r="I45" s="65"/>
      <c r="J45" s="65"/>
      <c r="K45" s="199"/>
      <c r="L45" s="200"/>
      <c r="M45" s="41"/>
      <c r="N45" s="42"/>
      <c r="O45" s="42"/>
      <c r="P45" s="42"/>
      <c r="Q45" s="42"/>
      <c r="R45" s="204"/>
      <c r="S45" s="205"/>
      <c r="T45" s="205"/>
      <c r="U45" s="205"/>
      <c r="V45" s="205"/>
      <c r="W45" s="206"/>
      <c r="X45" s="211">
        <v>10</v>
      </c>
      <c r="Y45" s="212"/>
      <c r="Z45" s="41"/>
      <c r="AA45" s="42"/>
      <c r="AB45" s="42"/>
      <c r="AC45" s="42"/>
      <c r="AD45" s="52"/>
      <c r="AE45" s="52"/>
      <c r="AF45" s="43"/>
      <c r="AG45" s="41"/>
      <c r="AH45" s="43"/>
    </row>
    <row r="47" spans="1:64" x14ac:dyDescent="0.2">
      <c r="AE47" s="28" t="e">
        <f>INDEX(TIPOS!F:F,MATCH(#REF!,TIPOS!$A:$A,0))</f>
        <v>#REF!</v>
      </c>
    </row>
    <row r="49" spans="30:35" x14ac:dyDescent="0.2">
      <c r="AE49" s="21" t="s">
        <v>48</v>
      </c>
      <c r="AF49" s="176" t="s">
        <v>321</v>
      </c>
      <c r="AG49" s="174"/>
      <c r="AH49" s="174"/>
    </row>
    <row r="50" spans="30:35" x14ac:dyDescent="0.2">
      <c r="AE50" s="21" t="s">
        <v>49</v>
      </c>
      <c r="AF50" s="55" t="s">
        <v>330</v>
      </c>
      <c r="AG50" s="173" t="str">
        <f>INDEX(TIPOS!K:K,MATCH($AF50,TIPOS!$A:$A,0))</f>
        <v>- 1,00 x 0,30</v>
      </c>
      <c r="AH50" s="8">
        <f>SUMIF($AF$10:$AF$41,AF50,$AH$10:$AH$41)</f>
        <v>660</v>
      </c>
    </row>
    <row r="51" spans="30:35" x14ac:dyDescent="0.2">
      <c r="AE51" s="21" t="s">
        <v>50</v>
      </c>
      <c r="AF51" s="55" t="s">
        <v>331</v>
      </c>
      <c r="AG51" s="173" t="str">
        <f>INDEX(TIPOS!K:K,MATCH($AF51,TIPOS!$A:$A,0))</f>
        <v>- 0,60 x 0,30</v>
      </c>
      <c r="AH51" s="8">
        <f>SUMIF($AF$10:$AF$41,AF51,$AH$10:$AH$41)</f>
        <v>533</v>
      </c>
    </row>
    <row r="52" spans="30:35" x14ac:dyDescent="0.2">
      <c r="AF52" s="55" t="s">
        <v>194</v>
      </c>
      <c r="AG52" s="173" t="str">
        <f>INDEX(TIPOS!K:K,MATCH($AF52,TIPOS!$A:$A,0))</f>
        <v>- 1,00 x 1,00</v>
      </c>
      <c r="AH52" s="8">
        <f>SUMIF($AF$10:$AF$41,AF52,$AH$10:$AH$41)</f>
        <v>400</v>
      </c>
    </row>
    <row r="53" spans="30:35" x14ac:dyDescent="0.2">
      <c r="AE53" s="21" t="s">
        <v>51</v>
      </c>
    </row>
    <row r="54" spans="30:35" x14ac:dyDescent="0.2">
      <c r="AE54" s="21" t="s">
        <v>52</v>
      </c>
      <c r="AF54" s="176" t="s">
        <v>322</v>
      </c>
      <c r="AG54" s="174"/>
      <c r="AH54" s="174"/>
    </row>
    <row r="55" spans="30:35" ht="25.5" customHeight="1" x14ac:dyDescent="0.2">
      <c r="AE55" s="21" t="s">
        <v>53</v>
      </c>
      <c r="AF55" s="224"/>
      <c r="AG55" s="175" t="s">
        <v>323</v>
      </c>
      <c r="AH55" s="175" t="s">
        <v>324</v>
      </c>
    </row>
    <row r="56" spans="30:35" ht="24" x14ac:dyDescent="0.2">
      <c r="AE56" s="21" t="s">
        <v>54</v>
      </c>
      <c r="AF56" s="225"/>
      <c r="AG56" s="175" t="s">
        <v>325</v>
      </c>
      <c r="AH56" s="175" t="s">
        <v>326</v>
      </c>
    </row>
    <row r="57" spans="30:35" ht="24" x14ac:dyDescent="0.2">
      <c r="AE57" s="21" t="s">
        <v>55</v>
      </c>
      <c r="AF57" s="225"/>
      <c r="AG57" s="175" t="s">
        <v>327</v>
      </c>
      <c r="AH57" s="175" t="s">
        <v>328</v>
      </c>
    </row>
    <row r="58" spans="30:35" ht="24" x14ac:dyDescent="0.2">
      <c r="AE58" s="21" t="s">
        <v>193</v>
      </c>
      <c r="AF58" s="226"/>
      <c r="AG58" s="175" t="s">
        <v>329</v>
      </c>
      <c r="AH58" s="175" t="s">
        <v>328</v>
      </c>
    </row>
    <row r="59" spans="30:35" x14ac:dyDescent="0.2">
      <c r="AE59" s="21" t="s">
        <v>194</v>
      </c>
      <c r="AF59"/>
      <c r="AG59"/>
      <c r="AH59"/>
    </row>
    <row r="60" spans="30:35" x14ac:dyDescent="0.2">
      <c r="AD60"/>
      <c r="AE60"/>
      <c r="AF60"/>
      <c r="AG60"/>
      <c r="AH60"/>
      <c r="AI60"/>
    </row>
    <row r="61" spans="30:35" x14ac:dyDescent="0.2">
      <c r="AE61" s="21" t="s">
        <v>198</v>
      </c>
    </row>
    <row r="62" spans="30:35" x14ac:dyDescent="0.2">
      <c r="AE62" s="21" t="s">
        <v>199</v>
      </c>
    </row>
    <row r="63" spans="30:35" x14ac:dyDescent="0.2">
      <c r="AE63" s="21" t="s">
        <v>200</v>
      </c>
    </row>
  </sheetData>
  <mergeCells count="25">
    <mergeCell ref="AF55:AF58"/>
    <mergeCell ref="Z44:AD44"/>
    <mergeCell ref="D45:G45"/>
    <mergeCell ref="K45:L45"/>
    <mergeCell ref="AF5:AH6"/>
    <mergeCell ref="AC5:AC7"/>
    <mergeCell ref="R43:W45"/>
    <mergeCell ref="X43:Y43"/>
    <mergeCell ref="D44:G44"/>
    <mergeCell ref="K44:L44"/>
    <mergeCell ref="X45:Y45"/>
    <mergeCell ref="K5:O5"/>
    <mergeCell ref="AR8:AS8"/>
    <mergeCell ref="A4:J4"/>
    <mergeCell ref="K4:U4"/>
    <mergeCell ref="V4:AH4"/>
    <mergeCell ref="P5:T5"/>
    <mergeCell ref="V5:V7"/>
    <mergeCell ref="W5:W7"/>
    <mergeCell ref="X5:X7"/>
    <mergeCell ref="Y5:Y7"/>
    <mergeCell ref="A6:G8"/>
    <mergeCell ref="Z5:Z7"/>
    <mergeCell ref="AA5:AA7"/>
    <mergeCell ref="AD5:AD7"/>
  </mergeCells>
  <phoneticPr fontId="2" type="noConversion"/>
  <conditionalFormatting sqref="AJ1:AJ1048576">
    <cfRule type="containsText" dxfId="1" priority="2" operator="containsText" text="REVER">
      <formula>NOT(ISERROR(SEARCH("REVER",AJ1)))</formula>
    </cfRule>
  </conditionalFormatting>
  <conditionalFormatting sqref="AK11:AK41">
    <cfRule type="containsText" dxfId="0" priority="1" operator="containsText" text="rever">
      <formula>NOT(ISERROR(SEARCH("rever",AK11)))</formula>
    </cfRule>
  </conditionalFormatting>
  <printOptions horizontalCentered="1"/>
  <pageMargins left="0.19685039370078741" right="0.19685039370078741" top="0.19685039370078741" bottom="1.1811023622047245" header="0.19685039370078741" footer="0.19685039370078741"/>
  <pageSetup paperSize="9" scale="64" fitToHeight="0" orientation="landscape" r:id="rId1"/>
  <headerFooter alignWithMargins="0">
    <oddHeader>&amp;C&amp;"Bookman Old Style,Negrito"&amp;14PLANILHAS DE CÁLCULO DA DRENAGEM SUPERFICIAL LONGITUDINAL</oddHeader>
  </headerFooter>
  <colBreaks count="1" manualBreakCount="1">
    <brk id="35" max="5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K98"/>
  <sheetViews>
    <sheetView view="pageBreakPreview" zoomScale="80" zoomScaleNormal="100" zoomScaleSheetLayoutView="80" workbookViewId="0">
      <selection activeCell="B16" sqref="B16"/>
    </sheetView>
  </sheetViews>
  <sheetFormatPr defaultRowHeight="12.75" x14ac:dyDescent="0.2"/>
  <cols>
    <col min="1" max="1" width="13" style="21" bestFit="1" customWidth="1"/>
    <col min="2" max="2" width="14.28515625" style="21" customWidth="1"/>
    <col min="3" max="4" width="11.42578125" style="21" customWidth="1"/>
    <col min="5" max="7" width="8.5703125" style="21" customWidth="1"/>
    <col min="8" max="9" width="6.140625" style="21" customWidth="1"/>
    <col min="10" max="10" width="9.140625" style="21"/>
    <col min="11" max="11" width="12.140625" style="21" customWidth="1"/>
    <col min="12" max="16384" width="9.140625" style="21"/>
  </cols>
  <sheetData>
    <row r="1" spans="1:11" ht="36" customHeight="1" x14ac:dyDescent="0.2">
      <c r="A1" s="214" t="s">
        <v>126</v>
      </c>
      <c r="B1" s="214"/>
      <c r="C1" s="214"/>
      <c r="D1" s="214"/>
      <c r="E1" s="214"/>
      <c r="F1" s="214"/>
      <c r="G1" s="214"/>
      <c r="H1" s="214"/>
      <c r="I1" s="214"/>
    </row>
    <row r="3" spans="1:11" ht="18.75" customHeight="1" x14ac:dyDescent="0.2">
      <c r="A3" s="223" t="s">
        <v>42</v>
      </c>
      <c r="B3" s="222" t="s">
        <v>125</v>
      </c>
      <c r="C3" s="222"/>
      <c r="D3" s="222"/>
      <c r="E3" s="219" t="s">
        <v>94</v>
      </c>
      <c r="F3" s="220"/>
      <c r="G3" s="220"/>
      <c r="H3" s="220"/>
      <c r="I3" s="221"/>
    </row>
    <row r="4" spans="1:11" ht="30" customHeight="1" x14ac:dyDescent="0.2">
      <c r="A4" s="223"/>
      <c r="B4" s="223" t="s">
        <v>128</v>
      </c>
      <c r="C4" s="1" t="s">
        <v>108</v>
      </c>
      <c r="D4" s="223" t="s">
        <v>95</v>
      </c>
      <c r="E4" s="1" t="s">
        <v>33</v>
      </c>
      <c r="F4" s="1" t="s">
        <v>34</v>
      </c>
      <c r="G4" s="1" t="s">
        <v>35</v>
      </c>
      <c r="H4" s="215" t="s">
        <v>127</v>
      </c>
      <c r="I4" s="216"/>
    </row>
    <row r="5" spans="1:11" ht="15" customHeight="1" x14ac:dyDescent="0.2">
      <c r="A5" s="223"/>
      <c r="B5" s="223"/>
      <c r="C5" s="2" t="s">
        <v>92</v>
      </c>
      <c r="D5" s="223"/>
      <c r="E5" s="2" t="s">
        <v>109</v>
      </c>
      <c r="F5" s="2" t="s">
        <v>110</v>
      </c>
      <c r="G5" s="2" t="s">
        <v>111</v>
      </c>
      <c r="H5" s="217"/>
      <c r="I5" s="218"/>
    </row>
    <row r="6" spans="1:11" ht="18.75" customHeight="1" x14ac:dyDescent="0.2">
      <c r="A6" s="56" t="s">
        <v>330</v>
      </c>
      <c r="B6" s="25" t="s">
        <v>96</v>
      </c>
      <c r="C6" s="26">
        <v>0.03</v>
      </c>
      <c r="D6" s="26" t="s">
        <v>98</v>
      </c>
      <c r="E6" s="8">
        <v>1.6</v>
      </c>
      <c r="F6" s="8">
        <v>1</v>
      </c>
      <c r="G6" s="8">
        <v>0.3</v>
      </c>
      <c r="H6" s="8">
        <f t="shared" ref="H6:H21" si="0">IF(D6="Trapezoidal",((E6-F6)/2)/G6,IF(D6="Triangular",E6/G6,0))</f>
        <v>1.0000000000000002</v>
      </c>
      <c r="I6" s="8">
        <f t="shared" ref="I6:I21" si="1">IF(D6="Trapezoidal",((E6-F6)/2)/G6,IF(D6="Triangular",F6/G6,0))</f>
        <v>1.0000000000000002</v>
      </c>
      <c r="K6" s="22" t="s">
        <v>133</v>
      </c>
    </row>
    <row r="7" spans="1:11" ht="18.75" customHeight="1" x14ac:dyDescent="0.2">
      <c r="A7" s="56" t="s">
        <v>331</v>
      </c>
      <c r="B7" s="25" t="s">
        <v>96</v>
      </c>
      <c r="C7" s="26">
        <v>0.03</v>
      </c>
      <c r="D7" s="26" t="s">
        <v>98</v>
      </c>
      <c r="E7" s="8">
        <v>1.2</v>
      </c>
      <c r="F7" s="8">
        <v>0.6</v>
      </c>
      <c r="G7" s="8">
        <v>0.3</v>
      </c>
      <c r="H7" s="8">
        <f t="shared" si="0"/>
        <v>1</v>
      </c>
      <c r="I7" s="8">
        <f t="shared" si="1"/>
        <v>1</v>
      </c>
      <c r="K7" s="22" t="s">
        <v>134</v>
      </c>
    </row>
    <row r="8" spans="1:11" ht="18.75" customHeight="1" x14ac:dyDescent="0.2">
      <c r="A8" s="56" t="s">
        <v>332</v>
      </c>
      <c r="B8" s="25" t="s">
        <v>97</v>
      </c>
      <c r="C8" s="25">
        <v>1.4999999999999999E-2</v>
      </c>
      <c r="D8" s="26" t="s">
        <v>98</v>
      </c>
      <c r="E8" s="8">
        <v>1.6</v>
      </c>
      <c r="F8" s="8">
        <v>1</v>
      </c>
      <c r="G8" s="8">
        <v>0.3</v>
      </c>
      <c r="H8" s="8">
        <f t="shared" si="0"/>
        <v>1.0000000000000002</v>
      </c>
      <c r="I8" s="8">
        <f t="shared" si="1"/>
        <v>1.0000000000000002</v>
      </c>
      <c r="K8" s="22" t="s">
        <v>133</v>
      </c>
    </row>
    <row r="9" spans="1:11" ht="18.75" customHeight="1" x14ac:dyDescent="0.2">
      <c r="A9" s="25" t="s">
        <v>51</v>
      </c>
      <c r="B9" s="25" t="s">
        <v>97</v>
      </c>
      <c r="C9" s="25">
        <v>1.4999999999999999E-2</v>
      </c>
      <c r="D9" s="26" t="s">
        <v>98</v>
      </c>
      <c r="E9" s="8">
        <v>1.2</v>
      </c>
      <c r="F9" s="8">
        <v>0.6</v>
      </c>
      <c r="G9" s="8">
        <v>0.3</v>
      </c>
      <c r="H9" s="8">
        <f t="shared" si="0"/>
        <v>1</v>
      </c>
      <c r="I9" s="8">
        <f t="shared" si="1"/>
        <v>1</v>
      </c>
      <c r="K9" s="22" t="s">
        <v>134</v>
      </c>
    </row>
    <row r="10" spans="1:11" ht="18.75" customHeight="1" x14ac:dyDescent="0.2">
      <c r="A10" s="56" t="s">
        <v>52</v>
      </c>
      <c r="B10" s="25" t="s">
        <v>96</v>
      </c>
      <c r="C10" s="26">
        <v>0.03</v>
      </c>
      <c r="D10" s="26" t="s">
        <v>98</v>
      </c>
      <c r="E10" s="8">
        <v>1.6</v>
      </c>
      <c r="F10" s="8">
        <v>1</v>
      </c>
      <c r="G10" s="8">
        <v>0.3</v>
      </c>
      <c r="H10" s="8">
        <f t="shared" si="0"/>
        <v>1.0000000000000002</v>
      </c>
      <c r="I10" s="8">
        <f t="shared" si="1"/>
        <v>1.0000000000000002</v>
      </c>
      <c r="K10" s="22" t="s">
        <v>133</v>
      </c>
    </row>
    <row r="11" spans="1:11" ht="18.75" customHeight="1" x14ac:dyDescent="0.2">
      <c r="A11" s="56" t="s">
        <v>333</v>
      </c>
      <c r="B11" s="25" t="s">
        <v>96</v>
      </c>
      <c r="C11" s="26">
        <v>0.03</v>
      </c>
      <c r="D11" s="26" t="s">
        <v>98</v>
      </c>
      <c r="E11" s="8">
        <v>1.2</v>
      </c>
      <c r="F11" s="8">
        <v>0.6</v>
      </c>
      <c r="G11" s="8">
        <v>0.3</v>
      </c>
      <c r="H11" s="8">
        <f t="shared" si="0"/>
        <v>1</v>
      </c>
      <c r="I11" s="8">
        <f t="shared" si="1"/>
        <v>1</v>
      </c>
      <c r="K11" s="22" t="s">
        <v>134</v>
      </c>
    </row>
    <row r="12" spans="1:11" ht="18.75" customHeight="1" x14ac:dyDescent="0.2">
      <c r="A12" s="25" t="s">
        <v>54</v>
      </c>
      <c r="B12" s="25" t="s">
        <v>97</v>
      </c>
      <c r="C12" s="25">
        <v>1.4999999999999999E-2</v>
      </c>
      <c r="D12" s="26" t="s">
        <v>98</v>
      </c>
      <c r="E12" s="8">
        <v>1.6</v>
      </c>
      <c r="F12" s="8">
        <v>1</v>
      </c>
      <c r="G12" s="8">
        <v>0.3</v>
      </c>
      <c r="H12" s="8">
        <f t="shared" si="0"/>
        <v>1.0000000000000002</v>
      </c>
      <c r="I12" s="8">
        <f t="shared" si="1"/>
        <v>1.0000000000000002</v>
      </c>
      <c r="K12" s="22" t="s">
        <v>133</v>
      </c>
    </row>
    <row r="13" spans="1:11" ht="18.75" customHeight="1" x14ac:dyDescent="0.2">
      <c r="A13" s="25" t="s">
        <v>55</v>
      </c>
      <c r="B13" s="25" t="s">
        <v>97</v>
      </c>
      <c r="C13" s="25">
        <v>1.4999999999999999E-2</v>
      </c>
      <c r="D13" s="26" t="s">
        <v>98</v>
      </c>
      <c r="E13" s="8">
        <v>1.2</v>
      </c>
      <c r="F13" s="8">
        <v>0.6</v>
      </c>
      <c r="G13" s="8">
        <v>0.3</v>
      </c>
      <c r="H13" s="8">
        <f t="shared" si="0"/>
        <v>1</v>
      </c>
      <c r="I13" s="8">
        <f t="shared" si="1"/>
        <v>1</v>
      </c>
      <c r="K13" s="22" t="s">
        <v>134</v>
      </c>
    </row>
    <row r="14" spans="1:11" ht="18.75" customHeight="1" x14ac:dyDescent="0.2">
      <c r="A14" s="25" t="s">
        <v>193</v>
      </c>
      <c r="B14" s="25" t="s">
        <v>96</v>
      </c>
      <c r="C14" s="26">
        <v>0.03</v>
      </c>
      <c r="D14" s="26" t="s">
        <v>98</v>
      </c>
      <c r="E14" s="8">
        <v>2</v>
      </c>
      <c r="F14" s="8">
        <v>1</v>
      </c>
      <c r="G14" s="8">
        <v>0.5</v>
      </c>
      <c r="H14" s="8">
        <f t="shared" si="0"/>
        <v>1</v>
      </c>
      <c r="I14" s="8">
        <f t="shared" si="1"/>
        <v>1</v>
      </c>
      <c r="K14" s="22" t="s">
        <v>195</v>
      </c>
    </row>
    <row r="15" spans="1:11" ht="18.75" customHeight="1" x14ac:dyDescent="0.2">
      <c r="A15" s="25" t="s">
        <v>194</v>
      </c>
      <c r="B15" s="25" t="s">
        <v>96</v>
      </c>
      <c r="C15" s="26">
        <v>0.03</v>
      </c>
      <c r="D15" s="26" t="s">
        <v>98</v>
      </c>
      <c r="E15" s="8">
        <v>3</v>
      </c>
      <c r="F15" s="8">
        <v>1</v>
      </c>
      <c r="G15" s="8">
        <v>1</v>
      </c>
      <c r="H15" s="8">
        <f t="shared" si="0"/>
        <v>1</v>
      </c>
      <c r="I15" s="8">
        <f t="shared" si="1"/>
        <v>1</v>
      </c>
      <c r="K15" s="22" t="s">
        <v>167</v>
      </c>
    </row>
    <row r="16" spans="1:11" ht="18.75" customHeight="1" x14ac:dyDescent="0.2">
      <c r="A16" s="25" t="s">
        <v>196</v>
      </c>
      <c r="B16" s="25" t="s">
        <v>96</v>
      </c>
      <c r="C16" s="26">
        <v>0.03</v>
      </c>
      <c r="D16" s="26" t="s">
        <v>98</v>
      </c>
      <c r="E16" s="8">
        <v>3.5</v>
      </c>
      <c r="F16" s="8">
        <v>1.5</v>
      </c>
      <c r="G16" s="8">
        <v>1</v>
      </c>
      <c r="H16" s="8">
        <f t="shared" si="0"/>
        <v>1</v>
      </c>
      <c r="I16" s="8">
        <f t="shared" si="1"/>
        <v>1</v>
      </c>
      <c r="K16" s="22" t="s">
        <v>197</v>
      </c>
    </row>
    <row r="17" spans="1:11" ht="18.75" customHeight="1" x14ac:dyDescent="0.2">
      <c r="A17" s="25" t="s">
        <v>198</v>
      </c>
      <c r="B17" s="25" t="s">
        <v>96</v>
      </c>
      <c r="C17" s="26">
        <v>0.03</v>
      </c>
      <c r="D17" s="26" t="s">
        <v>98</v>
      </c>
      <c r="E17" s="8">
        <v>3.9</v>
      </c>
      <c r="F17" s="8">
        <v>1.5</v>
      </c>
      <c r="G17" s="8">
        <v>1.2</v>
      </c>
      <c r="H17" s="8">
        <f t="shared" si="0"/>
        <v>1</v>
      </c>
      <c r="I17" s="8">
        <f t="shared" si="1"/>
        <v>1</v>
      </c>
      <c r="K17" s="22" t="s">
        <v>173</v>
      </c>
    </row>
    <row r="18" spans="1:11" ht="18.75" customHeight="1" x14ac:dyDescent="0.2">
      <c r="A18" s="25" t="s">
        <v>199</v>
      </c>
      <c r="B18" s="25" t="s">
        <v>96</v>
      </c>
      <c r="C18" s="26">
        <v>0.03</v>
      </c>
      <c r="D18" s="26" t="s">
        <v>98</v>
      </c>
      <c r="E18" s="8">
        <v>4.9000000000000004</v>
      </c>
      <c r="F18" s="8">
        <v>2.5</v>
      </c>
      <c r="G18" s="8">
        <v>1.2</v>
      </c>
      <c r="H18" s="8">
        <f t="shared" si="0"/>
        <v>1.0000000000000002</v>
      </c>
      <c r="I18" s="8">
        <f t="shared" si="1"/>
        <v>1.0000000000000002</v>
      </c>
      <c r="K18" s="22" t="s">
        <v>207</v>
      </c>
    </row>
    <row r="19" spans="1:11" ht="18.75" customHeight="1" x14ac:dyDescent="0.2">
      <c r="A19" s="25" t="s">
        <v>200</v>
      </c>
      <c r="B19" s="25" t="s">
        <v>97</v>
      </c>
      <c r="C19" s="26">
        <v>1.4999999999999999E-2</v>
      </c>
      <c r="D19" s="26" t="s">
        <v>98</v>
      </c>
      <c r="E19" s="8">
        <v>2.5</v>
      </c>
      <c r="F19" s="8">
        <v>1.5</v>
      </c>
      <c r="G19" s="8">
        <v>0.5</v>
      </c>
      <c r="H19" s="8">
        <f t="shared" si="0"/>
        <v>1</v>
      </c>
      <c r="I19" s="8">
        <f t="shared" si="1"/>
        <v>1</v>
      </c>
      <c r="K19" s="22" t="s">
        <v>210</v>
      </c>
    </row>
    <row r="20" spans="1:11" ht="18.75" customHeight="1" x14ac:dyDescent="0.2">
      <c r="A20" s="96" t="s">
        <v>56</v>
      </c>
      <c r="B20" s="96" t="s">
        <v>97</v>
      </c>
      <c r="C20" s="96">
        <v>1.4999999999999999E-2</v>
      </c>
      <c r="D20" s="75" t="s">
        <v>99</v>
      </c>
      <c r="E20" s="74">
        <v>1</v>
      </c>
      <c r="F20" s="74">
        <v>0.25</v>
      </c>
      <c r="G20" s="74">
        <v>0.25</v>
      </c>
      <c r="H20" s="74">
        <f t="shared" si="0"/>
        <v>4</v>
      </c>
      <c r="I20" s="74">
        <f t="shared" si="1"/>
        <v>1</v>
      </c>
      <c r="J20" s="97"/>
      <c r="K20" s="98" t="s">
        <v>132</v>
      </c>
    </row>
    <row r="21" spans="1:11" ht="18.75" customHeight="1" x14ac:dyDescent="0.2">
      <c r="A21" s="99" t="s">
        <v>57</v>
      </c>
      <c r="B21" s="96" t="s">
        <v>97</v>
      </c>
      <c r="C21" s="96">
        <v>1.4999999999999999E-2</v>
      </c>
      <c r="D21" s="75" t="s">
        <v>99</v>
      </c>
      <c r="E21" s="74">
        <v>0.7</v>
      </c>
      <c r="F21" s="74">
        <v>0.3</v>
      </c>
      <c r="G21" s="74">
        <v>0.3</v>
      </c>
      <c r="H21" s="74">
        <f t="shared" si="0"/>
        <v>2.3333333333333335</v>
      </c>
      <c r="I21" s="74">
        <f t="shared" si="1"/>
        <v>1</v>
      </c>
      <c r="J21" s="97"/>
      <c r="K21" s="98" t="s">
        <v>129</v>
      </c>
    </row>
    <row r="22" spans="1:11" ht="18.75" customHeight="1" x14ac:dyDescent="0.2">
      <c r="A22" s="96" t="s">
        <v>58</v>
      </c>
      <c r="B22" s="96" t="s">
        <v>97</v>
      </c>
      <c r="C22" s="96">
        <v>1.4999999999999999E-2</v>
      </c>
      <c r="D22" s="75" t="s">
        <v>99</v>
      </c>
      <c r="E22" s="74">
        <v>0.5</v>
      </c>
      <c r="F22" s="74">
        <v>0.3</v>
      </c>
      <c r="G22" s="74">
        <v>0.3</v>
      </c>
      <c r="H22" s="74">
        <f t="shared" ref="H22:H89" si="2">IF(D22="Trapezoidal",((E22-F22)/2)/G22,IF(D22="Triangular",E22/G22,0))</f>
        <v>1.6666666666666667</v>
      </c>
      <c r="I22" s="74">
        <f t="shared" ref="I22:I89" si="3">IF(D22="Trapezoidal",((E22-F22)/2)/G22,IF(D22="Triangular",F22/G22,0))</f>
        <v>1</v>
      </c>
      <c r="J22" s="97"/>
      <c r="K22" s="98" t="s">
        <v>130</v>
      </c>
    </row>
    <row r="23" spans="1:11" ht="18.75" customHeight="1" x14ac:dyDescent="0.2">
      <c r="A23" s="96" t="s">
        <v>59</v>
      </c>
      <c r="B23" s="96" t="s">
        <v>97</v>
      </c>
      <c r="C23" s="96">
        <v>1.4999999999999999E-2</v>
      </c>
      <c r="D23" s="75" t="s">
        <v>99</v>
      </c>
      <c r="E23" s="74">
        <v>0.5</v>
      </c>
      <c r="F23" s="74">
        <v>0.2</v>
      </c>
      <c r="G23" s="74">
        <v>0.2</v>
      </c>
      <c r="H23" s="74">
        <f t="shared" si="2"/>
        <v>2.5</v>
      </c>
      <c r="I23" s="74">
        <f t="shared" si="3"/>
        <v>1</v>
      </c>
      <c r="J23" s="97"/>
      <c r="K23" s="98" t="s">
        <v>131</v>
      </c>
    </row>
    <row r="24" spans="1:11" ht="18.75" customHeight="1" x14ac:dyDescent="0.2">
      <c r="A24" s="96" t="s">
        <v>60</v>
      </c>
      <c r="B24" s="96" t="s">
        <v>97</v>
      </c>
      <c r="C24" s="96">
        <v>1.4999999999999999E-2</v>
      </c>
      <c r="D24" s="75" t="s">
        <v>99</v>
      </c>
      <c r="E24" s="74">
        <v>1</v>
      </c>
      <c r="F24" s="74">
        <v>0.08</v>
      </c>
      <c r="G24" s="74">
        <v>0.25</v>
      </c>
      <c r="H24" s="74">
        <f t="shared" si="2"/>
        <v>4</v>
      </c>
      <c r="I24" s="74">
        <f t="shared" si="3"/>
        <v>0.32</v>
      </c>
      <c r="J24" s="97"/>
      <c r="K24" s="98" t="s">
        <v>132</v>
      </c>
    </row>
    <row r="25" spans="1:11" ht="18.75" customHeight="1" x14ac:dyDescent="0.2">
      <c r="A25" s="96" t="s">
        <v>61</v>
      </c>
      <c r="B25" s="96" t="s">
        <v>97</v>
      </c>
      <c r="C25" s="96">
        <v>1.4999999999999999E-2</v>
      </c>
      <c r="D25" s="75" t="s">
        <v>99</v>
      </c>
      <c r="E25" s="74">
        <v>0.7</v>
      </c>
      <c r="F25" s="74">
        <v>0.08</v>
      </c>
      <c r="G25" s="74">
        <v>0.3</v>
      </c>
      <c r="H25" s="74">
        <f t="shared" si="2"/>
        <v>2.3333333333333335</v>
      </c>
      <c r="I25" s="74">
        <f t="shared" si="3"/>
        <v>0.26666666666666666</v>
      </c>
      <c r="J25" s="97"/>
      <c r="K25" s="98" t="s">
        <v>129</v>
      </c>
    </row>
    <row r="26" spans="1:11" ht="18.75" customHeight="1" x14ac:dyDescent="0.2">
      <c r="A26" s="96" t="s">
        <v>62</v>
      </c>
      <c r="B26" s="96" t="s">
        <v>97</v>
      </c>
      <c r="C26" s="96">
        <v>1.4999999999999999E-2</v>
      </c>
      <c r="D26" s="75" t="s">
        <v>99</v>
      </c>
      <c r="E26" s="74">
        <v>0.5</v>
      </c>
      <c r="F26" s="74">
        <v>0.08</v>
      </c>
      <c r="G26" s="74">
        <v>0.3</v>
      </c>
      <c r="H26" s="74">
        <f t="shared" si="2"/>
        <v>1.6666666666666667</v>
      </c>
      <c r="I26" s="74">
        <f t="shared" si="3"/>
        <v>0.26666666666666666</v>
      </c>
      <c r="J26" s="97"/>
      <c r="K26" s="98" t="s">
        <v>130</v>
      </c>
    </row>
    <row r="27" spans="1:11" ht="18.75" customHeight="1" x14ac:dyDescent="0.2">
      <c r="A27" s="96" t="s">
        <v>63</v>
      </c>
      <c r="B27" s="96" t="s">
        <v>97</v>
      </c>
      <c r="C27" s="96">
        <v>1.4999999999999999E-2</v>
      </c>
      <c r="D27" s="75" t="s">
        <v>99</v>
      </c>
      <c r="E27" s="74">
        <v>0.5</v>
      </c>
      <c r="F27" s="74">
        <v>0.05</v>
      </c>
      <c r="G27" s="74">
        <v>0.2</v>
      </c>
      <c r="H27" s="74">
        <f t="shared" si="2"/>
        <v>2.5</v>
      </c>
      <c r="I27" s="74">
        <f t="shared" si="3"/>
        <v>0.25</v>
      </c>
      <c r="J27" s="97"/>
      <c r="K27" s="98" t="s">
        <v>131</v>
      </c>
    </row>
    <row r="28" spans="1:11" ht="18.75" customHeight="1" x14ac:dyDescent="0.2">
      <c r="A28" s="25" t="s">
        <v>64</v>
      </c>
      <c r="B28" s="25" t="s">
        <v>96</v>
      </c>
      <c r="C28" s="26">
        <v>0.03</v>
      </c>
      <c r="D28" s="26" t="s">
        <v>99</v>
      </c>
      <c r="E28" s="8">
        <v>1</v>
      </c>
      <c r="F28" s="8">
        <v>0.25</v>
      </c>
      <c r="G28" s="8">
        <v>0.25</v>
      </c>
      <c r="H28" s="8">
        <f t="shared" si="2"/>
        <v>4</v>
      </c>
      <c r="I28" s="8">
        <f t="shared" si="3"/>
        <v>1</v>
      </c>
      <c r="K28" s="22" t="s">
        <v>132</v>
      </c>
    </row>
    <row r="29" spans="1:11" ht="18.75" customHeight="1" x14ac:dyDescent="0.2">
      <c r="A29" s="25" t="s">
        <v>65</v>
      </c>
      <c r="B29" s="25" t="s">
        <v>96</v>
      </c>
      <c r="C29" s="26">
        <v>0.03</v>
      </c>
      <c r="D29" s="26" t="s">
        <v>99</v>
      </c>
      <c r="E29" s="8">
        <v>0.7</v>
      </c>
      <c r="F29" s="8">
        <v>0.3</v>
      </c>
      <c r="G29" s="8">
        <v>0.3</v>
      </c>
      <c r="H29" s="8">
        <f t="shared" si="2"/>
        <v>2.3333333333333335</v>
      </c>
      <c r="I29" s="8">
        <f t="shared" si="3"/>
        <v>1</v>
      </c>
      <c r="K29" s="22" t="s">
        <v>129</v>
      </c>
    </row>
    <row r="30" spans="1:11" ht="18.75" customHeight="1" x14ac:dyDescent="0.2">
      <c r="A30" s="25" t="s">
        <v>66</v>
      </c>
      <c r="B30" s="25" t="s">
        <v>96</v>
      </c>
      <c r="C30" s="26">
        <v>0.03</v>
      </c>
      <c r="D30" s="26" t="s">
        <v>99</v>
      </c>
      <c r="E30" s="8">
        <v>0.5</v>
      </c>
      <c r="F30" s="8">
        <v>0.3</v>
      </c>
      <c r="G30" s="8">
        <v>0.3</v>
      </c>
      <c r="H30" s="8">
        <f t="shared" si="2"/>
        <v>1.6666666666666667</v>
      </c>
      <c r="I30" s="8">
        <f t="shared" si="3"/>
        <v>1</v>
      </c>
      <c r="K30" s="22" t="s">
        <v>130</v>
      </c>
    </row>
    <row r="31" spans="1:11" ht="18.75" customHeight="1" x14ac:dyDescent="0.2">
      <c r="A31" s="25" t="s">
        <v>67</v>
      </c>
      <c r="B31" s="25" t="s">
        <v>96</v>
      </c>
      <c r="C31" s="26">
        <v>0.03</v>
      </c>
      <c r="D31" s="26" t="s">
        <v>99</v>
      </c>
      <c r="E31" s="8">
        <v>0.5</v>
      </c>
      <c r="F31" s="8">
        <v>0.2</v>
      </c>
      <c r="G31" s="8">
        <v>0.2</v>
      </c>
      <c r="H31" s="8">
        <f t="shared" si="2"/>
        <v>2.5</v>
      </c>
      <c r="I31" s="8">
        <f t="shared" si="3"/>
        <v>1</v>
      </c>
      <c r="K31" s="22" t="s">
        <v>131</v>
      </c>
    </row>
    <row r="32" spans="1:11" ht="18.75" customHeight="1" x14ac:dyDescent="0.2">
      <c r="A32" s="25" t="s">
        <v>214</v>
      </c>
      <c r="B32" s="25" t="s">
        <v>96</v>
      </c>
      <c r="C32" s="26">
        <v>0.03</v>
      </c>
      <c r="D32" s="26" t="s">
        <v>99</v>
      </c>
      <c r="E32" s="8">
        <v>0.5</v>
      </c>
      <c r="F32" s="8">
        <v>0.5</v>
      </c>
      <c r="G32" s="8">
        <v>0.25</v>
      </c>
      <c r="H32" s="8">
        <f t="shared" si="2"/>
        <v>2</v>
      </c>
      <c r="I32" s="8">
        <f t="shared" si="3"/>
        <v>2</v>
      </c>
      <c r="K32" s="22" t="s">
        <v>132</v>
      </c>
    </row>
    <row r="33" spans="1:11" ht="18.75" customHeight="1" x14ac:dyDescent="0.2">
      <c r="A33" s="25" t="s">
        <v>215</v>
      </c>
      <c r="B33" s="25" t="s">
        <v>96</v>
      </c>
      <c r="C33" s="26">
        <v>0.03</v>
      </c>
      <c r="D33" s="26" t="s">
        <v>99</v>
      </c>
      <c r="E33" s="8">
        <v>0.7</v>
      </c>
      <c r="F33" s="8">
        <v>0.7</v>
      </c>
      <c r="G33" s="8">
        <v>0.35</v>
      </c>
      <c r="H33" s="8">
        <f>IF(D33="Trapezoidal",((E33-F33)/2)/G33,IF(D33="Triangular",E33/G33,0))</f>
        <v>2</v>
      </c>
      <c r="I33" s="8">
        <f>IF(D33="Trapezoidal",((E33-F33)/2)/G33,IF(D33="Triangular",F33/G33,0))</f>
        <v>2</v>
      </c>
      <c r="K33" s="22" t="s">
        <v>137</v>
      </c>
    </row>
    <row r="34" spans="1:11" ht="18.75" customHeight="1" x14ac:dyDescent="0.2">
      <c r="A34" s="25" t="s">
        <v>68</v>
      </c>
      <c r="B34" s="25" t="s">
        <v>97</v>
      </c>
      <c r="C34" s="25">
        <v>1.4999999999999999E-2</v>
      </c>
      <c r="D34" s="26" t="s">
        <v>98</v>
      </c>
      <c r="E34" s="8">
        <v>0.6</v>
      </c>
      <c r="F34" s="8">
        <v>0.2</v>
      </c>
      <c r="G34" s="8">
        <v>0.2</v>
      </c>
      <c r="H34" s="8">
        <f t="shared" si="2"/>
        <v>0.99999999999999989</v>
      </c>
      <c r="I34" s="8">
        <f t="shared" si="3"/>
        <v>0.99999999999999989</v>
      </c>
      <c r="K34" s="22" t="s">
        <v>135</v>
      </c>
    </row>
    <row r="35" spans="1:11" ht="18.75" customHeight="1" x14ac:dyDescent="0.2">
      <c r="A35" s="25" t="s">
        <v>69</v>
      </c>
      <c r="B35" s="25" t="s">
        <v>97</v>
      </c>
      <c r="C35" s="25">
        <v>1.4999999999999999E-2</v>
      </c>
      <c r="D35" s="26" t="s">
        <v>98</v>
      </c>
      <c r="E35" s="8">
        <v>0.6</v>
      </c>
      <c r="F35" s="8">
        <v>0.2</v>
      </c>
      <c r="G35" s="8">
        <v>0.2</v>
      </c>
      <c r="H35" s="8">
        <f t="shared" si="2"/>
        <v>0.99999999999999989</v>
      </c>
      <c r="I35" s="8">
        <f t="shared" si="3"/>
        <v>0.99999999999999989</v>
      </c>
      <c r="K35" s="22" t="s">
        <v>135</v>
      </c>
    </row>
    <row r="36" spans="1:11" ht="18.75" customHeight="1" x14ac:dyDescent="0.2">
      <c r="A36" s="25" t="s">
        <v>70</v>
      </c>
      <c r="B36" s="25" t="s">
        <v>96</v>
      </c>
      <c r="C36" s="26">
        <v>0.03</v>
      </c>
      <c r="D36" s="26" t="s">
        <v>98</v>
      </c>
      <c r="E36" s="8">
        <v>0.9</v>
      </c>
      <c r="F36" s="8">
        <v>0.3</v>
      </c>
      <c r="G36" s="8">
        <v>0.3</v>
      </c>
      <c r="H36" s="8">
        <f t="shared" si="2"/>
        <v>1.0000000000000002</v>
      </c>
      <c r="I36" s="8">
        <f t="shared" si="3"/>
        <v>1.0000000000000002</v>
      </c>
      <c r="K36" s="22" t="s">
        <v>136</v>
      </c>
    </row>
    <row r="37" spans="1:11" ht="18.75" customHeight="1" x14ac:dyDescent="0.2">
      <c r="A37" s="25" t="s">
        <v>71</v>
      </c>
      <c r="B37" s="25" t="s">
        <v>96</v>
      </c>
      <c r="C37" s="26">
        <v>0.03</v>
      </c>
      <c r="D37" s="26" t="s">
        <v>98</v>
      </c>
      <c r="E37" s="8">
        <v>0.6</v>
      </c>
      <c r="F37" s="8">
        <v>0.2</v>
      </c>
      <c r="G37" s="8">
        <v>0.2</v>
      </c>
      <c r="H37" s="8">
        <f t="shared" si="2"/>
        <v>0.99999999999999989</v>
      </c>
      <c r="I37" s="8">
        <f t="shared" si="3"/>
        <v>0.99999999999999989</v>
      </c>
      <c r="K37" s="22" t="s">
        <v>135</v>
      </c>
    </row>
    <row r="38" spans="1:11" ht="18.75" customHeight="1" x14ac:dyDescent="0.2">
      <c r="A38" s="25" t="s">
        <v>72</v>
      </c>
      <c r="B38" s="25" t="s">
        <v>97</v>
      </c>
      <c r="C38" s="25">
        <v>1.4999999999999999E-2</v>
      </c>
      <c r="D38" s="26" t="s">
        <v>99</v>
      </c>
      <c r="E38" s="8">
        <v>0.5</v>
      </c>
      <c r="F38" s="8">
        <v>0.5</v>
      </c>
      <c r="G38" s="8">
        <v>0.25</v>
      </c>
      <c r="H38" s="8">
        <f t="shared" si="2"/>
        <v>2</v>
      </c>
      <c r="I38" s="8">
        <f t="shared" si="3"/>
        <v>2</v>
      </c>
      <c r="K38" s="22" t="s">
        <v>132</v>
      </c>
    </row>
    <row r="39" spans="1:11" ht="18.75" customHeight="1" x14ac:dyDescent="0.2">
      <c r="A39" s="25" t="s">
        <v>73</v>
      </c>
      <c r="B39" s="25" t="s">
        <v>97</v>
      </c>
      <c r="C39" s="25">
        <v>1.4999999999999999E-2</v>
      </c>
      <c r="D39" s="26" t="s">
        <v>99</v>
      </c>
      <c r="E39" s="8">
        <v>0.7</v>
      </c>
      <c r="F39" s="8">
        <v>0.7</v>
      </c>
      <c r="G39" s="8">
        <v>0.35</v>
      </c>
      <c r="H39" s="8">
        <f t="shared" si="2"/>
        <v>2</v>
      </c>
      <c r="I39" s="8">
        <f t="shared" si="3"/>
        <v>2</v>
      </c>
      <c r="K39" s="22" t="s">
        <v>137</v>
      </c>
    </row>
    <row r="40" spans="1:11" ht="18.75" customHeight="1" x14ac:dyDescent="0.2">
      <c r="A40" s="25" t="s">
        <v>74</v>
      </c>
      <c r="B40" s="25" t="s">
        <v>97</v>
      </c>
      <c r="C40" s="25">
        <v>1.4999999999999999E-2</v>
      </c>
      <c r="D40" s="26" t="s">
        <v>98</v>
      </c>
      <c r="E40" s="8">
        <v>1</v>
      </c>
      <c r="F40" s="8">
        <v>0.5</v>
      </c>
      <c r="G40" s="8">
        <v>0.25</v>
      </c>
      <c r="H40" s="8">
        <f t="shared" si="2"/>
        <v>1</v>
      </c>
      <c r="I40" s="8">
        <f t="shared" si="3"/>
        <v>1</v>
      </c>
      <c r="K40" s="22" t="s">
        <v>138</v>
      </c>
    </row>
    <row r="41" spans="1:11" ht="18.75" customHeight="1" x14ac:dyDescent="0.2">
      <c r="A41" s="25" t="s">
        <v>75</v>
      </c>
      <c r="B41" s="25" t="s">
        <v>97</v>
      </c>
      <c r="C41" s="25">
        <v>1.4999999999999999E-2</v>
      </c>
      <c r="D41" s="26" t="s">
        <v>98</v>
      </c>
      <c r="E41" s="8">
        <v>1.4</v>
      </c>
      <c r="F41" s="8">
        <v>0.7</v>
      </c>
      <c r="G41" s="8">
        <v>0.35</v>
      </c>
      <c r="H41" s="8">
        <f t="shared" si="2"/>
        <v>1</v>
      </c>
      <c r="I41" s="8">
        <f t="shared" si="3"/>
        <v>1</v>
      </c>
      <c r="K41" s="22" t="s">
        <v>139</v>
      </c>
    </row>
    <row r="42" spans="1:11" ht="18.75" customHeight="1" x14ac:dyDescent="0.2">
      <c r="A42" s="25" t="s">
        <v>76</v>
      </c>
      <c r="B42" s="25" t="s">
        <v>97</v>
      </c>
      <c r="C42" s="25">
        <v>1.4999999999999999E-2</v>
      </c>
      <c r="D42" s="26" t="s">
        <v>100</v>
      </c>
      <c r="E42" s="8">
        <v>0.3</v>
      </c>
      <c r="F42" s="8">
        <v>0.3</v>
      </c>
      <c r="G42" s="8">
        <v>0.3</v>
      </c>
      <c r="H42" s="8">
        <f t="shared" si="2"/>
        <v>0</v>
      </c>
      <c r="I42" s="8">
        <f t="shared" si="3"/>
        <v>0</v>
      </c>
      <c r="K42" s="22" t="s">
        <v>136</v>
      </c>
    </row>
    <row r="43" spans="1:11" ht="18.75" customHeight="1" x14ac:dyDescent="0.2">
      <c r="A43" s="25" t="s">
        <v>77</v>
      </c>
      <c r="B43" s="25" t="s">
        <v>97</v>
      </c>
      <c r="C43" s="25">
        <v>1.4999999999999999E-2</v>
      </c>
      <c r="D43" s="26" t="s">
        <v>100</v>
      </c>
      <c r="E43" s="8">
        <v>0.4</v>
      </c>
      <c r="F43" s="8">
        <v>0.4</v>
      </c>
      <c r="G43" s="8">
        <v>0.3</v>
      </c>
      <c r="H43" s="8">
        <f t="shared" si="2"/>
        <v>0</v>
      </c>
      <c r="I43" s="8">
        <f t="shared" si="3"/>
        <v>0</v>
      </c>
      <c r="K43" s="22" t="s">
        <v>140</v>
      </c>
    </row>
    <row r="44" spans="1:11" ht="18.75" customHeight="1" x14ac:dyDescent="0.2">
      <c r="A44" s="25" t="s">
        <v>78</v>
      </c>
      <c r="B44" s="25" t="s">
        <v>97</v>
      </c>
      <c r="C44" s="25">
        <v>1.4999999999999999E-2</v>
      </c>
      <c r="D44" s="26" t="s">
        <v>100</v>
      </c>
      <c r="E44" s="8">
        <v>0.3</v>
      </c>
      <c r="F44" s="8">
        <v>0.3</v>
      </c>
      <c r="G44" s="8">
        <v>0.4</v>
      </c>
      <c r="H44" s="8">
        <f t="shared" si="2"/>
        <v>0</v>
      </c>
      <c r="I44" s="8">
        <f t="shared" si="3"/>
        <v>0</v>
      </c>
      <c r="K44" s="22" t="s">
        <v>150</v>
      </c>
    </row>
    <row r="45" spans="1:11" ht="18.75" customHeight="1" x14ac:dyDescent="0.2">
      <c r="A45" s="25" t="s">
        <v>79</v>
      </c>
      <c r="B45" s="25" t="s">
        <v>97</v>
      </c>
      <c r="C45" s="25">
        <v>1.4999999999999999E-2</v>
      </c>
      <c r="D45" s="26" t="s">
        <v>100</v>
      </c>
      <c r="E45" s="8">
        <v>0.4</v>
      </c>
      <c r="F45" s="8">
        <v>0.4</v>
      </c>
      <c r="G45" s="8">
        <v>0.4</v>
      </c>
      <c r="H45" s="8">
        <f t="shared" si="2"/>
        <v>0</v>
      </c>
      <c r="I45" s="8">
        <f t="shared" si="3"/>
        <v>0</v>
      </c>
      <c r="K45" s="22" t="s">
        <v>141</v>
      </c>
    </row>
    <row r="46" spans="1:11" ht="18.75" customHeight="1" x14ac:dyDescent="0.2">
      <c r="A46" s="25" t="s">
        <v>80</v>
      </c>
      <c r="B46" s="25" t="s">
        <v>97</v>
      </c>
      <c r="C46" s="25">
        <v>1.4999999999999999E-2</v>
      </c>
      <c r="D46" s="26" t="s">
        <v>100</v>
      </c>
      <c r="E46" s="8">
        <v>0.5</v>
      </c>
      <c r="F46" s="8">
        <v>0.5</v>
      </c>
      <c r="G46" s="8">
        <v>0.4</v>
      </c>
      <c r="H46" s="8">
        <f t="shared" si="2"/>
        <v>0</v>
      </c>
      <c r="I46" s="8">
        <f t="shared" si="3"/>
        <v>0</v>
      </c>
      <c r="K46" s="22" t="s">
        <v>142</v>
      </c>
    </row>
    <row r="47" spans="1:11" ht="18.75" customHeight="1" x14ac:dyDescent="0.2">
      <c r="A47" s="25" t="s">
        <v>81</v>
      </c>
      <c r="B47" s="25" t="s">
        <v>97</v>
      </c>
      <c r="C47" s="25">
        <v>1.4999999999999999E-2</v>
      </c>
      <c r="D47" s="26" t="s">
        <v>100</v>
      </c>
      <c r="E47" s="8">
        <v>0.6</v>
      </c>
      <c r="F47" s="8">
        <v>0.6</v>
      </c>
      <c r="G47" s="8">
        <v>0.4</v>
      </c>
      <c r="H47" s="8">
        <f t="shared" si="2"/>
        <v>0</v>
      </c>
      <c r="I47" s="8">
        <f t="shared" si="3"/>
        <v>0</v>
      </c>
      <c r="K47" s="22" t="s">
        <v>151</v>
      </c>
    </row>
    <row r="48" spans="1:11" ht="18.75" customHeight="1" x14ac:dyDescent="0.2">
      <c r="A48" s="25" t="s">
        <v>82</v>
      </c>
      <c r="B48" s="25" t="s">
        <v>97</v>
      </c>
      <c r="C48" s="25">
        <v>1.4999999999999999E-2</v>
      </c>
      <c r="D48" s="26" t="s">
        <v>100</v>
      </c>
      <c r="E48" s="8">
        <v>0.7</v>
      </c>
      <c r="F48" s="8">
        <v>0.7</v>
      </c>
      <c r="G48" s="8">
        <v>0.4</v>
      </c>
      <c r="H48" s="8">
        <f t="shared" si="2"/>
        <v>0</v>
      </c>
      <c r="I48" s="8">
        <f t="shared" si="3"/>
        <v>0</v>
      </c>
      <c r="K48" s="22" t="s">
        <v>152</v>
      </c>
    </row>
    <row r="49" spans="1:11" ht="18.75" customHeight="1" x14ac:dyDescent="0.2">
      <c r="A49" s="25" t="s">
        <v>83</v>
      </c>
      <c r="B49" s="25" t="s">
        <v>97</v>
      </c>
      <c r="C49" s="25">
        <v>1.4999999999999999E-2</v>
      </c>
      <c r="D49" s="26" t="s">
        <v>100</v>
      </c>
      <c r="E49" s="8">
        <v>0.8</v>
      </c>
      <c r="F49" s="8">
        <v>0.8</v>
      </c>
      <c r="G49" s="8">
        <v>0.4</v>
      </c>
      <c r="H49" s="8">
        <f t="shared" si="2"/>
        <v>0</v>
      </c>
      <c r="I49" s="8">
        <f t="shared" si="3"/>
        <v>0</v>
      </c>
      <c r="K49" s="22" t="s">
        <v>153</v>
      </c>
    </row>
    <row r="50" spans="1:11" ht="18.75" customHeight="1" x14ac:dyDescent="0.2">
      <c r="A50" s="25" t="s">
        <v>112</v>
      </c>
      <c r="B50" s="25" t="s">
        <v>97</v>
      </c>
      <c r="C50" s="25">
        <v>1.4999999999999999E-2</v>
      </c>
      <c r="D50" s="26" t="s">
        <v>100</v>
      </c>
      <c r="E50" s="8">
        <v>0.4</v>
      </c>
      <c r="F50" s="8">
        <v>0.4</v>
      </c>
      <c r="G50" s="8">
        <v>0.6</v>
      </c>
      <c r="H50" s="8">
        <f t="shared" si="2"/>
        <v>0</v>
      </c>
      <c r="I50" s="8">
        <f t="shared" si="3"/>
        <v>0</v>
      </c>
      <c r="K50" s="22" t="s">
        <v>154</v>
      </c>
    </row>
    <row r="51" spans="1:11" ht="18.75" customHeight="1" x14ac:dyDescent="0.2">
      <c r="A51" s="25" t="s">
        <v>113</v>
      </c>
      <c r="B51" s="25" t="s">
        <v>97</v>
      </c>
      <c r="C51" s="25">
        <v>1.4999999999999999E-2</v>
      </c>
      <c r="D51" s="26" t="s">
        <v>100</v>
      </c>
      <c r="E51" s="8">
        <v>0.5</v>
      </c>
      <c r="F51" s="8">
        <v>0.5</v>
      </c>
      <c r="G51" s="8">
        <v>0.6</v>
      </c>
      <c r="H51" s="8">
        <f t="shared" si="2"/>
        <v>0</v>
      </c>
      <c r="I51" s="8">
        <f t="shared" si="3"/>
        <v>0</v>
      </c>
      <c r="K51" s="22" t="s">
        <v>155</v>
      </c>
    </row>
    <row r="52" spans="1:11" ht="18.75" customHeight="1" x14ac:dyDescent="0.2">
      <c r="A52" s="25" t="s">
        <v>114</v>
      </c>
      <c r="B52" s="25" t="s">
        <v>97</v>
      </c>
      <c r="C52" s="25">
        <v>1.4999999999999999E-2</v>
      </c>
      <c r="D52" s="26" t="s">
        <v>100</v>
      </c>
      <c r="E52" s="8">
        <v>0.6</v>
      </c>
      <c r="F52" s="8">
        <v>0.6</v>
      </c>
      <c r="G52" s="8">
        <v>0.6</v>
      </c>
      <c r="H52" s="8">
        <f t="shared" si="2"/>
        <v>0</v>
      </c>
      <c r="I52" s="8">
        <f t="shared" si="3"/>
        <v>0</v>
      </c>
      <c r="K52" s="22" t="s">
        <v>156</v>
      </c>
    </row>
    <row r="53" spans="1:11" ht="18.75" customHeight="1" x14ac:dyDescent="0.2">
      <c r="A53" s="25" t="s">
        <v>115</v>
      </c>
      <c r="B53" s="25" t="s">
        <v>97</v>
      </c>
      <c r="C53" s="25">
        <v>1.4999999999999999E-2</v>
      </c>
      <c r="D53" s="26" t="s">
        <v>100</v>
      </c>
      <c r="E53" s="8">
        <v>0.7</v>
      </c>
      <c r="F53" s="8">
        <v>0.7</v>
      </c>
      <c r="G53" s="8">
        <v>0.6</v>
      </c>
      <c r="H53" s="8">
        <f t="shared" si="2"/>
        <v>0</v>
      </c>
      <c r="I53" s="8">
        <f t="shared" si="3"/>
        <v>0</v>
      </c>
      <c r="K53" s="22" t="s">
        <v>157</v>
      </c>
    </row>
    <row r="54" spans="1:11" ht="18.75" customHeight="1" x14ac:dyDescent="0.2">
      <c r="A54" s="25" t="s">
        <v>116</v>
      </c>
      <c r="B54" s="25" t="s">
        <v>97</v>
      </c>
      <c r="C54" s="25">
        <v>1.4999999999999999E-2</v>
      </c>
      <c r="D54" s="26" t="s">
        <v>100</v>
      </c>
      <c r="E54" s="8">
        <v>0.8</v>
      </c>
      <c r="F54" s="8">
        <v>0.8</v>
      </c>
      <c r="G54" s="8">
        <v>0.6</v>
      </c>
      <c r="H54" s="8">
        <f t="shared" si="2"/>
        <v>0</v>
      </c>
      <c r="I54" s="8">
        <f t="shared" si="3"/>
        <v>0</v>
      </c>
      <c r="K54" s="22" t="s">
        <v>158</v>
      </c>
    </row>
    <row r="55" spans="1:11" ht="18.75" customHeight="1" x14ac:dyDescent="0.2">
      <c r="A55" s="25" t="s">
        <v>117</v>
      </c>
      <c r="B55" s="25" t="s">
        <v>97</v>
      </c>
      <c r="C55" s="25">
        <v>1.4999999999999999E-2</v>
      </c>
      <c r="D55" s="26" t="s">
        <v>100</v>
      </c>
      <c r="E55" s="8">
        <v>1</v>
      </c>
      <c r="F55" s="8">
        <v>1</v>
      </c>
      <c r="G55" s="8">
        <v>0.6</v>
      </c>
      <c r="H55" s="8">
        <f t="shared" si="2"/>
        <v>0</v>
      </c>
      <c r="I55" s="8">
        <f t="shared" si="3"/>
        <v>0</v>
      </c>
      <c r="K55" s="22" t="s">
        <v>159</v>
      </c>
    </row>
    <row r="56" spans="1:11" ht="18.75" customHeight="1" x14ac:dyDescent="0.2">
      <c r="A56" s="25" t="s">
        <v>118</v>
      </c>
      <c r="B56" s="25" t="s">
        <v>97</v>
      </c>
      <c r="C56" s="25">
        <v>1.4999999999999999E-2</v>
      </c>
      <c r="D56" s="26" t="s">
        <v>100</v>
      </c>
      <c r="E56" s="8">
        <v>0.5</v>
      </c>
      <c r="F56" s="8">
        <v>0.5</v>
      </c>
      <c r="G56" s="8">
        <v>0.8</v>
      </c>
      <c r="H56" s="8">
        <f t="shared" si="2"/>
        <v>0</v>
      </c>
      <c r="I56" s="8">
        <f t="shared" si="3"/>
        <v>0</v>
      </c>
      <c r="K56" s="22" t="s">
        <v>160</v>
      </c>
    </row>
    <row r="57" spans="1:11" ht="18.75" customHeight="1" x14ac:dyDescent="0.2">
      <c r="A57" s="25" t="s">
        <v>119</v>
      </c>
      <c r="B57" s="25" t="s">
        <v>97</v>
      </c>
      <c r="C57" s="25">
        <v>1.4999999999999999E-2</v>
      </c>
      <c r="D57" s="26" t="s">
        <v>100</v>
      </c>
      <c r="E57" s="8">
        <v>0.6</v>
      </c>
      <c r="F57" s="8">
        <v>0.6</v>
      </c>
      <c r="G57" s="8">
        <v>0.8</v>
      </c>
      <c r="H57" s="8">
        <f t="shared" si="2"/>
        <v>0</v>
      </c>
      <c r="I57" s="8">
        <f t="shared" si="3"/>
        <v>0</v>
      </c>
      <c r="K57" s="22" t="s">
        <v>164</v>
      </c>
    </row>
    <row r="58" spans="1:11" ht="18.75" customHeight="1" x14ac:dyDescent="0.2">
      <c r="A58" s="25" t="s">
        <v>120</v>
      </c>
      <c r="B58" s="25" t="s">
        <v>97</v>
      </c>
      <c r="C58" s="25">
        <v>1.4999999999999999E-2</v>
      </c>
      <c r="D58" s="26" t="s">
        <v>100</v>
      </c>
      <c r="E58" s="8">
        <v>0.7</v>
      </c>
      <c r="F58" s="8">
        <v>0.7</v>
      </c>
      <c r="G58" s="8">
        <v>0.8</v>
      </c>
      <c r="H58" s="8">
        <f t="shared" si="2"/>
        <v>0</v>
      </c>
      <c r="I58" s="8">
        <f t="shared" si="3"/>
        <v>0</v>
      </c>
      <c r="K58" s="22" t="s">
        <v>162</v>
      </c>
    </row>
    <row r="59" spans="1:11" ht="18.75" customHeight="1" x14ac:dyDescent="0.2">
      <c r="A59" s="25" t="s">
        <v>121</v>
      </c>
      <c r="B59" s="25" t="s">
        <v>97</v>
      </c>
      <c r="C59" s="25">
        <v>1.4999999999999999E-2</v>
      </c>
      <c r="D59" s="26" t="s">
        <v>100</v>
      </c>
      <c r="E59" s="8">
        <v>0.8</v>
      </c>
      <c r="F59" s="8">
        <v>0.8</v>
      </c>
      <c r="G59" s="8">
        <v>0.8</v>
      </c>
      <c r="H59" s="8">
        <f t="shared" si="2"/>
        <v>0</v>
      </c>
      <c r="I59" s="8">
        <f t="shared" si="3"/>
        <v>0</v>
      </c>
      <c r="K59" s="22" t="s">
        <v>161</v>
      </c>
    </row>
    <row r="60" spans="1:11" ht="18.75" customHeight="1" x14ac:dyDescent="0.2">
      <c r="A60" s="25" t="s">
        <v>122</v>
      </c>
      <c r="B60" s="25" t="s">
        <v>97</v>
      </c>
      <c r="C60" s="25">
        <v>1.4999999999999999E-2</v>
      </c>
      <c r="D60" s="26" t="s">
        <v>100</v>
      </c>
      <c r="E60" s="8">
        <v>1</v>
      </c>
      <c r="F60" s="8">
        <v>1</v>
      </c>
      <c r="G60" s="8">
        <v>0.8</v>
      </c>
      <c r="H60" s="8">
        <f t="shared" si="2"/>
        <v>0</v>
      </c>
      <c r="I60" s="8">
        <f t="shared" si="3"/>
        <v>0</v>
      </c>
      <c r="K60" s="22" t="s">
        <v>163</v>
      </c>
    </row>
    <row r="61" spans="1:11" ht="18.75" customHeight="1" x14ac:dyDescent="0.2">
      <c r="A61" s="25" t="s">
        <v>123</v>
      </c>
      <c r="B61" s="25" t="s">
        <v>97</v>
      </c>
      <c r="C61" s="25">
        <v>1.4999999999999999E-2</v>
      </c>
      <c r="D61" s="26" t="s">
        <v>100</v>
      </c>
      <c r="E61" s="8">
        <v>0.6</v>
      </c>
      <c r="F61" s="8">
        <v>0.6</v>
      </c>
      <c r="G61" s="8">
        <v>1</v>
      </c>
      <c r="H61" s="8">
        <f t="shared" si="2"/>
        <v>0</v>
      </c>
      <c r="I61" s="8">
        <f t="shared" si="3"/>
        <v>0</v>
      </c>
      <c r="K61" s="22" t="s">
        <v>165</v>
      </c>
    </row>
    <row r="62" spans="1:11" ht="18.75" customHeight="1" x14ac:dyDescent="0.2">
      <c r="A62" s="25" t="s">
        <v>124</v>
      </c>
      <c r="B62" s="25" t="s">
        <v>97</v>
      </c>
      <c r="C62" s="25">
        <v>1.4999999999999999E-2</v>
      </c>
      <c r="D62" s="26" t="s">
        <v>100</v>
      </c>
      <c r="E62" s="8">
        <v>0.7</v>
      </c>
      <c r="F62" s="8">
        <v>0.7</v>
      </c>
      <c r="G62" s="8">
        <v>1</v>
      </c>
      <c r="H62" s="8">
        <f t="shared" si="2"/>
        <v>0</v>
      </c>
      <c r="I62" s="8">
        <f t="shared" si="3"/>
        <v>0</v>
      </c>
      <c r="K62" s="22" t="s">
        <v>166</v>
      </c>
    </row>
    <row r="63" spans="1:11" ht="18.75" customHeight="1" x14ac:dyDescent="0.2">
      <c r="A63" s="25" t="s">
        <v>143</v>
      </c>
      <c r="B63" s="25" t="s">
        <v>97</v>
      </c>
      <c r="C63" s="25">
        <v>1.4999999999999999E-2</v>
      </c>
      <c r="D63" s="26" t="s">
        <v>100</v>
      </c>
      <c r="E63" s="8">
        <v>0.8</v>
      </c>
      <c r="F63" s="8">
        <v>0.8</v>
      </c>
      <c r="G63" s="8">
        <v>1</v>
      </c>
      <c r="H63" s="8">
        <f t="shared" si="2"/>
        <v>0</v>
      </c>
      <c r="I63" s="8">
        <f t="shared" si="3"/>
        <v>0</v>
      </c>
      <c r="K63" s="22" t="s">
        <v>168</v>
      </c>
    </row>
    <row r="64" spans="1:11" ht="18.75" customHeight="1" x14ac:dyDescent="0.2">
      <c r="A64" s="25" t="s">
        <v>144</v>
      </c>
      <c r="B64" s="25" t="s">
        <v>97</v>
      </c>
      <c r="C64" s="25">
        <v>1.4999999999999999E-2</v>
      </c>
      <c r="D64" s="26" t="s">
        <v>100</v>
      </c>
      <c r="E64" s="8">
        <v>1</v>
      </c>
      <c r="F64" s="8">
        <v>1</v>
      </c>
      <c r="G64" s="8">
        <v>1</v>
      </c>
      <c r="H64" s="8">
        <f t="shared" si="2"/>
        <v>0</v>
      </c>
      <c r="I64" s="8">
        <f t="shared" si="3"/>
        <v>0</v>
      </c>
      <c r="K64" s="22" t="s">
        <v>167</v>
      </c>
    </row>
    <row r="65" spans="1:11" ht="18.75" customHeight="1" x14ac:dyDescent="0.2">
      <c r="A65" s="25" t="s">
        <v>145</v>
      </c>
      <c r="B65" s="25" t="s">
        <v>97</v>
      </c>
      <c r="C65" s="25">
        <v>1.4999999999999999E-2</v>
      </c>
      <c r="D65" s="26" t="s">
        <v>100</v>
      </c>
      <c r="E65" s="8">
        <v>1.2</v>
      </c>
      <c r="F65" s="8">
        <v>1.2</v>
      </c>
      <c r="G65" s="8">
        <v>1</v>
      </c>
      <c r="H65" s="8">
        <f t="shared" si="2"/>
        <v>0</v>
      </c>
      <c r="I65" s="8">
        <f t="shared" si="3"/>
        <v>0</v>
      </c>
      <c r="K65" s="22" t="s">
        <v>169</v>
      </c>
    </row>
    <row r="66" spans="1:11" ht="18.75" customHeight="1" x14ac:dyDescent="0.2">
      <c r="A66" s="25" t="s">
        <v>146</v>
      </c>
      <c r="B66" s="25" t="s">
        <v>97</v>
      </c>
      <c r="C66" s="25">
        <v>1.4999999999999999E-2</v>
      </c>
      <c r="D66" s="26" t="s">
        <v>100</v>
      </c>
      <c r="E66" s="8">
        <v>0.8</v>
      </c>
      <c r="F66" s="8">
        <v>0.8</v>
      </c>
      <c r="G66" s="8">
        <v>1.2</v>
      </c>
      <c r="H66" s="8">
        <f t="shared" si="2"/>
        <v>0</v>
      </c>
      <c r="I66" s="8">
        <f t="shared" si="3"/>
        <v>0</v>
      </c>
      <c r="K66" s="22" t="s">
        <v>170</v>
      </c>
    </row>
    <row r="67" spans="1:11" ht="18.75" customHeight="1" x14ac:dyDescent="0.2">
      <c r="A67" s="25" t="s">
        <v>147</v>
      </c>
      <c r="B67" s="25" t="s">
        <v>97</v>
      </c>
      <c r="C67" s="25">
        <v>1.4999999999999999E-2</v>
      </c>
      <c r="D67" s="26" t="s">
        <v>100</v>
      </c>
      <c r="E67" s="8">
        <v>1</v>
      </c>
      <c r="F67" s="8">
        <v>1</v>
      </c>
      <c r="G67" s="8">
        <v>1.2</v>
      </c>
      <c r="H67" s="8">
        <f t="shared" si="2"/>
        <v>0</v>
      </c>
      <c r="I67" s="8">
        <f t="shared" si="3"/>
        <v>0</v>
      </c>
      <c r="K67" s="22" t="s">
        <v>171</v>
      </c>
    </row>
    <row r="68" spans="1:11" ht="18.75" customHeight="1" x14ac:dyDescent="0.2">
      <c r="A68" s="25" t="s">
        <v>148</v>
      </c>
      <c r="B68" s="25" t="s">
        <v>97</v>
      </c>
      <c r="C68" s="25">
        <v>1.4999999999999999E-2</v>
      </c>
      <c r="D68" s="26" t="s">
        <v>100</v>
      </c>
      <c r="E68" s="8">
        <v>1.2</v>
      </c>
      <c r="F68" s="8">
        <v>1.2</v>
      </c>
      <c r="G68" s="8">
        <v>1.2</v>
      </c>
      <c r="H68" s="8">
        <f t="shared" si="2"/>
        <v>0</v>
      </c>
      <c r="I68" s="8">
        <f t="shared" si="3"/>
        <v>0</v>
      </c>
      <c r="K68" s="22" t="s">
        <v>172</v>
      </c>
    </row>
    <row r="69" spans="1:11" ht="18.75" customHeight="1" x14ac:dyDescent="0.2">
      <c r="A69" s="25" t="s">
        <v>149</v>
      </c>
      <c r="B69" s="25" t="s">
        <v>97</v>
      </c>
      <c r="C69" s="25">
        <v>1.4999999999999999E-2</v>
      </c>
      <c r="D69" s="26" t="s">
        <v>100</v>
      </c>
      <c r="E69" s="8">
        <v>1.5</v>
      </c>
      <c r="F69" s="8">
        <v>1.5</v>
      </c>
      <c r="G69" s="8">
        <v>1.2</v>
      </c>
      <c r="H69" s="8">
        <f t="shared" si="2"/>
        <v>0</v>
      </c>
      <c r="I69" s="8">
        <f t="shared" si="3"/>
        <v>0</v>
      </c>
      <c r="K69" s="22" t="s">
        <v>173</v>
      </c>
    </row>
    <row r="70" spans="1:11" ht="18.75" customHeight="1" x14ac:dyDescent="0.2">
      <c r="A70" s="25" t="s">
        <v>217</v>
      </c>
      <c r="B70" s="25" t="s">
        <v>97</v>
      </c>
      <c r="C70" s="25">
        <v>1.4999999999999999E-2</v>
      </c>
      <c r="D70" s="26" t="s">
        <v>100</v>
      </c>
      <c r="E70" s="8">
        <v>1.5</v>
      </c>
      <c r="F70" s="8">
        <v>1.5</v>
      </c>
      <c r="G70" s="8">
        <v>1</v>
      </c>
      <c r="H70" s="8">
        <f>IF(D70="Trapezoidal",((E70-F70)/2)/G70,IF(D70="Triangular",E70/G70,0))</f>
        <v>0</v>
      </c>
      <c r="I70" s="8">
        <f>IF(D70="Trapezoidal",((E70-F70)/2)/G70,IF(D70="Triangular",F70/G70,0))</f>
        <v>0</v>
      </c>
      <c r="K70" s="22" t="s">
        <v>197</v>
      </c>
    </row>
    <row r="71" spans="1:11" ht="18.75" customHeight="1" x14ac:dyDescent="0.2">
      <c r="A71" s="25" t="s">
        <v>101</v>
      </c>
      <c r="B71" s="25" t="s">
        <v>97</v>
      </c>
      <c r="C71" s="25">
        <v>1.4999999999999999E-2</v>
      </c>
      <c r="D71" s="26" t="s">
        <v>107</v>
      </c>
      <c r="E71" s="8">
        <v>0.3</v>
      </c>
      <c r="F71" s="8">
        <v>0</v>
      </c>
      <c r="G71" s="8">
        <v>0.15</v>
      </c>
      <c r="H71" s="8">
        <f t="shared" si="2"/>
        <v>0</v>
      </c>
      <c r="I71" s="8">
        <f t="shared" si="3"/>
        <v>0</v>
      </c>
      <c r="K71" s="22" t="s">
        <v>176</v>
      </c>
    </row>
    <row r="72" spans="1:11" ht="18.75" customHeight="1" x14ac:dyDescent="0.2">
      <c r="A72" s="25" t="s">
        <v>102</v>
      </c>
      <c r="B72" s="25" t="s">
        <v>97</v>
      </c>
      <c r="C72" s="25">
        <v>1.4999999999999999E-2</v>
      </c>
      <c r="D72" s="26" t="s">
        <v>107</v>
      </c>
      <c r="E72" s="8">
        <v>0.4</v>
      </c>
      <c r="F72" s="8">
        <v>0</v>
      </c>
      <c r="G72" s="8">
        <v>0.2</v>
      </c>
      <c r="H72" s="8">
        <f t="shared" si="2"/>
        <v>0</v>
      </c>
      <c r="I72" s="8">
        <f t="shared" si="3"/>
        <v>0</v>
      </c>
      <c r="K72" s="22" t="s">
        <v>177</v>
      </c>
    </row>
    <row r="73" spans="1:11" ht="18.75" customHeight="1" x14ac:dyDescent="0.2">
      <c r="A73" s="25" t="s">
        <v>103</v>
      </c>
      <c r="B73" s="25" t="s">
        <v>97</v>
      </c>
      <c r="C73" s="25">
        <v>1.4999999999999999E-2</v>
      </c>
      <c r="D73" s="26" t="s">
        <v>107</v>
      </c>
      <c r="E73" s="8">
        <v>0.5</v>
      </c>
      <c r="F73" s="8">
        <v>0</v>
      </c>
      <c r="G73" s="8">
        <v>0.25</v>
      </c>
      <c r="H73" s="8">
        <f t="shared" si="2"/>
        <v>0</v>
      </c>
      <c r="I73" s="8">
        <f t="shared" si="3"/>
        <v>0</v>
      </c>
      <c r="K73" s="22" t="s">
        <v>178</v>
      </c>
    </row>
    <row r="74" spans="1:11" ht="18.75" customHeight="1" x14ac:dyDescent="0.2">
      <c r="A74" s="25" t="s">
        <v>104</v>
      </c>
      <c r="B74" s="25" t="s">
        <v>97</v>
      </c>
      <c r="C74" s="25">
        <v>1.4999999999999999E-2</v>
      </c>
      <c r="D74" s="26" t="s">
        <v>107</v>
      </c>
      <c r="E74" s="8">
        <v>0.6</v>
      </c>
      <c r="F74" s="8">
        <v>0</v>
      </c>
      <c r="G74" s="8">
        <v>0.3</v>
      </c>
      <c r="H74" s="8">
        <f t="shared" si="2"/>
        <v>0</v>
      </c>
      <c r="I74" s="8">
        <f t="shared" si="3"/>
        <v>0</v>
      </c>
      <c r="K74" s="22" t="s">
        <v>179</v>
      </c>
    </row>
    <row r="75" spans="1:11" ht="18.75" customHeight="1" x14ac:dyDescent="0.2">
      <c r="A75" s="25" t="s">
        <v>105</v>
      </c>
      <c r="B75" s="25" t="s">
        <v>97</v>
      </c>
      <c r="C75" s="25">
        <v>1.4999999999999999E-2</v>
      </c>
      <c r="D75" s="26" t="s">
        <v>107</v>
      </c>
      <c r="E75" s="8">
        <v>0.7</v>
      </c>
      <c r="F75" s="8">
        <v>0</v>
      </c>
      <c r="G75" s="8">
        <v>0.35</v>
      </c>
      <c r="H75" s="8">
        <f t="shared" si="2"/>
        <v>0</v>
      </c>
      <c r="I75" s="8">
        <f t="shared" si="3"/>
        <v>0</v>
      </c>
      <c r="K75" s="22" t="s">
        <v>180</v>
      </c>
    </row>
    <row r="76" spans="1:11" ht="18.75" customHeight="1" x14ac:dyDescent="0.2">
      <c r="A76" s="25" t="s">
        <v>106</v>
      </c>
      <c r="B76" s="25" t="s">
        <v>97</v>
      </c>
      <c r="C76" s="25">
        <v>1.4999999999999999E-2</v>
      </c>
      <c r="D76" s="26" t="s">
        <v>107</v>
      </c>
      <c r="E76" s="8">
        <v>0.8</v>
      </c>
      <c r="F76" s="8">
        <v>0</v>
      </c>
      <c r="G76" s="8">
        <v>0.4</v>
      </c>
      <c r="H76" s="8">
        <f t="shared" si="2"/>
        <v>0</v>
      </c>
      <c r="I76" s="8">
        <f t="shared" si="3"/>
        <v>0</v>
      </c>
      <c r="K76" s="22" t="s">
        <v>181</v>
      </c>
    </row>
    <row r="77" spans="1:11" ht="18.75" customHeight="1" x14ac:dyDescent="0.2">
      <c r="A77" s="25" t="s">
        <v>202</v>
      </c>
      <c r="B77" s="25" t="s">
        <v>97</v>
      </c>
      <c r="C77" s="25">
        <v>1.4999999999999999E-2</v>
      </c>
      <c r="D77" s="26" t="s">
        <v>100</v>
      </c>
      <c r="E77" s="8">
        <v>0.5</v>
      </c>
      <c r="F77" s="8">
        <v>0.5</v>
      </c>
      <c r="G77" s="8">
        <v>0.15</v>
      </c>
      <c r="H77" s="8">
        <f t="shared" si="2"/>
        <v>0</v>
      </c>
      <c r="I77" s="8">
        <f t="shared" si="3"/>
        <v>0</v>
      </c>
      <c r="K77" s="22" t="s">
        <v>204</v>
      </c>
    </row>
    <row r="78" spans="1:11" ht="18.75" customHeight="1" x14ac:dyDescent="0.2">
      <c r="A78" s="25" t="s">
        <v>203</v>
      </c>
      <c r="B78" s="25" t="s">
        <v>97</v>
      </c>
      <c r="C78" s="25">
        <v>1.4999999999999999E-2</v>
      </c>
      <c r="D78" s="26" t="s">
        <v>100</v>
      </c>
      <c r="E78" s="8">
        <v>1</v>
      </c>
      <c r="F78" s="8">
        <v>1</v>
      </c>
      <c r="G78" s="8">
        <v>0.25</v>
      </c>
      <c r="H78" s="8">
        <f t="shared" si="2"/>
        <v>0</v>
      </c>
      <c r="I78" s="8">
        <f t="shared" si="3"/>
        <v>0</v>
      </c>
      <c r="K78" s="22" t="s">
        <v>204</v>
      </c>
    </row>
    <row r="79" spans="1:11" ht="18.75" customHeight="1" x14ac:dyDescent="0.2">
      <c r="A79" s="25" t="s">
        <v>211</v>
      </c>
      <c r="B79" s="25" t="s">
        <v>97</v>
      </c>
      <c r="C79" s="25">
        <v>1.4999999999999999E-2</v>
      </c>
      <c r="D79" s="26" t="s">
        <v>100</v>
      </c>
      <c r="E79" s="8">
        <v>1.5</v>
      </c>
      <c r="F79" s="8">
        <v>1.5</v>
      </c>
      <c r="G79" s="8">
        <v>0.35</v>
      </c>
      <c r="H79" s="8">
        <f>IF(D79="Trapezoidal",((E79-F79)/2)/G79,IF(D79="Triangular",E79/G79,0))</f>
        <v>0</v>
      </c>
      <c r="I79" s="8">
        <f>IF(D79="Trapezoidal",((E79-F79)/2)/G79,IF(D79="Triangular",F79/G79,0))</f>
        <v>0</v>
      </c>
      <c r="K79" s="22" t="s">
        <v>204</v>
      </c>
    </row>
    <row r="80" spans="1:11" ht="18.75" customHeight="1" x14ac:dyDescent="0.2">
      <c r="A80" s="25" t="s">
        <v>205</v>
      </c>
      <c r="B80" s="25" t="s">
        <v>97</v>
      </c>
      <c r="C80" s="25">
        <v>1.4999999999999999E-2</v>
      </c>
      <c r="D80" s="26" t="s">
        <v>100</v>
      </c>
      <c r="E80" s="8">
        <v>0.5</v>
      </c>
      <c r="F80" s="8">
        <v>0.5</v>
      </c>
      <c r="G80" s="8">
        <v>0.1</v>
      </c>
      <c r="H80" s="8">
        <f t="shared" si="2"/>
        <v>0</v>
      </c>
      <c r="I80" s="8">
        <f t="shared" si="3"/>
        <v>0</v>
      </c>
      <c r="K80" s="22" t="s">
        <v>204</v>
      </c>
    </row>
    <row r="81" spans="1:11" ht="18.75" customHeight="1" x14ac:dyDescent="0.2">
      <c r="A81" s="25" t="s">
        <v>206</v>
      </c>
      <c r="B81" s="25" t="s">
        <v>97</v>
      </c>
      <c r="C81" s="25">
        <v>1.4999999999999999E-2</v>
      </c>
      <c r="D81" s="26" t="s">
        <v>100</v>
      </c>
      <c r="E81" s="8">
        <v>2.2200000000000002</v>
      </c>
      <c r="F81" s="8">
        <v>2.2200000000000002</v>
      </c>
      <c r="G81" s="8">
        <v>0.15</v>
      </c>
      <c r="H81" s="8">
        <f t="shared" si="2"/>
        <v>0</v>
      </c>
      <c r="I81" s="8">
        <f t="shared" si="3"/>
        <v>0</v>
      </c>
      <c r="K81" s="22" t="s">
        <v>204</v>
      </c>
    </row>
    <row r="82" spans="1:11" ht="18.75" customHeight="1" x14ac:dyDescent="0.2">
      <c r="A82" s="56" t="s">
        <v>219</v>
      </c>
      <c r="B82" s="25" t="s">
        <v>97</v>
      </c>
      <c r="C82" s="25">
        <v>1.4999999999999999E-2</v>
      </c>
      <c r="D82" s="26" t="s">
        <v>100</v>
      </c>
      <c r="E82" s="8">
        <v>2.73</v>
      </c>
      <c r="F82" s="8">
        <v>2.73</v>
      </c>
      <c r="G82" s="8">
        <v>0.2</v>
      </c>
      <c r="H82" s="8">
        <f t="shared" ref="H82" si="4">IF(D82="Trapezoidal",((E82-F82)/2)/G82,IF(D82="Triangular",E82/G82,0))</f>
        <v>0</v>
      </c>
      <c r="I82" s="8">
        <f t="shared" ref="I82" si="5">IF(D82="Trapezoidal",((E82-F82)/2)/G82,IF(D82="Triangular",F82/G82,0))</f>
        <v>0</v>
      </c>
      <c r="K82" s="22" t="s">
        <v>204</v>
      </c>
    </row>
    <row r="83" spans="1:11" ht="18.75" customHeight="1" x14ac:dyDescent="0.2">
      <c r="A83" s="25" t="s">
        <v>84</v>
      </c>
      <c r="B83" s="25" t="s">
        <v>97</v>
      </c>
      <c r="C83" s="25">
        <v>1.4999999999999999E-2</v>
      </c>
      <c r="D83" s="26" t="s">
        <v>99</v>
      </c>
      <c r="E83" s="8">
        <v>0.5</v>
      </c>
      <c r="F83" s="8">
        <v>1.2500000000000001E-2</v>
      </c>
      <c r="G83" s="8">
        <v>0.05</v>
      </c>
      <c r="H83" s="8">
        <f t="shared" si="2"/>
        <v>10</v>
      </c>
      <c r="I83" s="8">
        <f t="shared" si="3"/>
        <v>0.25</v>
      </c>
      <c r="K83" s="22" t="s">
        <v>174</v>
      </c>
    </row>
    <row r="84" spans="1:11" ht="18.75" customHeight="1" x14ac:dyDescent="0.2">
      <c r="A84" s="25" t="s">
        <v>85</v>
      </c>
      <c r="B84" s="25" t="s">
        <v>97</v>
      </c>
      <c r="C84" s="25">
        <v>1.4999999999999999E-2</v>
      </c>
      <c r="D84" s="26" t="s">
        <v>99</v>
      </c>
      <c r="E84" s="8">
        <v>0.5</v>
      </c>
      <c r="F84" s="8">
        <v>0.03</v>
      </c>
      <c r="G84" s="8">
        <v>0.05</v>
      </c>
      <c r="H84" s="8">
        <f t="shared" si="2"/>
        <v>10</v>
      </c>
      <c r="I84" s="8">
        <f t="shared" si="3"/>
        <v>0.6</v>
      </c>
      <c r="K84" s="22" t="s">
        <v>174</v>
      </c>
    </row>
    <row r="85" spans="1:11" ht="18.75" customHeight="1" x14ac:dyDescent="0.2">
      <c r="A85" s="25" t="s">
        <v>86</v>
      </c>
      <c r="B85" s="25" t="s">
        <v>97</v>
      </c>
      <c r="C85" s="25">
        <v>1.4999999999999999E-2</v>
      </c>
      <c r="D85" s="26" t="s">
        <v>99</v>
      </c>
      <c r="E85" s="8">
        <v>0.13</v>
      </c>
      <c r="F85" s="8">
        <v>4.0000000000000001E-3</v>
      </c>
      <c r="G85" s="8">
        <v>0.02</v>
      </c>
      <c r="H85" s="8">
        <f t="shared" si="2"/>
        <v>6.5</v>
      </c>
      <c r="I85" s="8">
        <f t="shared" si="3"/>
        <v>0.2</v>
      </c>
      <c r="K85" s="22" t="s">
        <v>175</v>
      </c>
    </row>
    <row r="86" spans="1:11" ht="18.75" customHeight="1" x14ac:dyDescent="0.2">
      <c r="A86" s="25" t="s">
        <v>87</v>
      </c>
      <c r="B86" s="25" t="s">
        <v>97</v>
      </c>
      <c r="C86" s="25">
        <v>1.4999999999999999E-2</v>
      </c>
      <c r="D86" s="26" t="s">
        <v>99</v>
      </c>
      <c r="E86" s="8">
        <v>0.13</v>
      </c>
      <c r="F86" s="8">
        <v>5.0000000000000001E-3</v>
      </c>
      <c r="G86" s="8">
        <v>0.02</v>
      </c>
      <c r="H86" s="8">
        <f t="shared" si="2"/>
        <v>6.5</v>
      </c>
      <c r="I86" s="8">
        <f t="shared" si="3"/>
        <v>0.25</v>
      </c>
      <c r="K86" s="22" t="s">
        <v>175</v>
      </c>
    </row>
    <row r="87" spans="1:11" ht="18.75" customHeight="1" x14ac:dyDescent="0.2">
      <c r="A87" s="25" t="s">
        <v>88</v>
      </c>
      <c r="B87" s="25" t="s">
        <v>93</v>
      </c>
      <c r="C87" s="25">
        <v>1.4999999999999999E-2</v>
      </c>
      <c r="D87" s="26" t="s">
        <v>99</v>
      </c>
      <c r="E87" s="8">
        <v>1</v>
      </c>
      <c r="F87" s="8">
        <v>0</v>
      </c>
      <c r="G87" s="8">
        <v>0.02</v>
      </c>
      <c r="H87" s="8">
        <f t="shared" si="2"/>
        <v>50</v>
      </c>
      <c r="I87" s="8">
        <f t="shared" si="3"/>
        <v>0</v>
      </c>
      <c r="K87" s="21" t="s">
        <v>46</v>
      </c>
    </row>
    <row r="88" spans="1:11" ht="18.75" customHeight="1" x14ac:dyDescent="0.2">
      <c r="A88" s="25" t="s">
        <v>89</v>
      </c>
      <c r="B88" s="25" t="s">
        <v>93</v>
      </c>
      <c r="C88" s="25">
        <v>1.4999999999999999E-2</v>
      </c>
      <c r="D88" s="26" t="s">
        <v>99</v>
      </c>
      <c r="E88" s="8">
        <v>1</v>
      </c>
      <c r="F88" s="8">
        <v>0</v>
      </c>
      <c r="G88" s="8">
        <v>0.02</v>
      </c>
      <c r="H88" s="8">
        <f t="shared" si="2"/>
        <v>50</v>
      </c>
      <c r="I88" s="8">
        <f t="shared" si="3"/>
        <v>0</v>
      </c>
      <c r="K88" s="21" t="s">
        <v>46</v>
      </c>
    </row>
    <row r="89" spans="1:11" ht="18.75" customHeight="1" x14ac:dyDescent="0.2">
      <c r="A89" s="25" t="s">
        <v>90</v>
      </c>
      <c r="B89" s="25" t="s">
        <v>93</v>
      </c>
      <c r="C89" s="25">
        <v>1.4999999999999999E-2</v>
      </c>
      <c r="D89" s="26" t="s">
        <v>99</v>
      </c>
      <c r="E89" s="8">
        <v>1</v>
      </c>
      <c r="F89" s="8">
        <v>0</v>
      </c>
      <c r="G89" s="8">
        <v>0.02</v>
      </c>
      <c r="H89" s="8">
        <f t="shared" si="2"/>
        <v>50</v>
      </c>
      <c r="I89" s="8">
        <f t="shared" si="3"/>
        <v>0</v>
      </c>
      <c r="K89" s="21" t="s">
        <v>46</v>
      </c>
    </row>
    <row r="90" spans="1:11" ht="18.75" customHeight="1" x14ac:dyDescent="0.2">
      <c r="A90" s="25" t="s">
        <v>91</v>
      </c>
      <c r="B90" s="25" t="s">
        <v>93</v>
      </c>
      <c r="C90" s="25">
        <v>1.4999999999999999E-2</v>
      </c>
      <c r="D90" s="26" t="s">
        <v>99</v>
      </c>
      <c r="E90" s="8">
        <v>1</v>
      </c>
      <c r="F90" s="8">
        <v>0</v>
      </c>
      <c r="G90" s="8">
        <v>0.02</v>
      </c>
      <c r="H90" s="8">
        <f>IF(D90="Trapezoidal",((E90-F90)/2)/G90,IF(D90="Triangular",E90/G90,0))</f>
        <v>50</v>
      </c>
      <c r="I90" s="8">
        <f>IF(D90="Trapezoidal",((E90-F90)/2)/G90,IF(D90="Triangular",F90/G90,0))</f>
        <v>0</v>
      </c>
      <c r="K90" s="21" t="s">
        <v>46</v>
      </c>
    </row>
    <row r="91" spans="1:11" ht="18.75" customHeight="1" x14ac:dyDescent="0.2">
      <c r="A91" s="25" t="s">
        <v>201</v>
      </c>
      <c r="B91" s="25" t="s">
        <v>97</v>
      </c>
      <c r="C91" s="25">
        <v>1.4999999999999999E-2</v>
      </c>
      <c r="D91" s="26" t="s">
        <v>99</v>
      </c>
      <c r="E91" s="8">
        <v>0.5</v>
      </c>
      <c r="F91" s="8">
        <v>0.05</v>
      </c>
      <c r="G91" s="8">
        <v>0.12</v>
      </c>
      <c r="H91" s="8">
        <f>IF(D91="Trapezoidal",((E91-F91)/2)/G91,IF(D91="Triangular",E91/G91,0))</f>
        <v>4.166666666666667</v>
      </c>
      <c r="I91" s="8">
        <f>IF(D91="Trapezoidal",((E91-F91)/2)/G91,IF(D91="Triangular",F91/G91,0))</f>
        <v>0.41666666666666669</v>
      </c>
      <c r="K91" s="22" t="s">
        <v>209</v>
      </c>
    </row>
    <row r="92" spans="1:11" ht="18.75" customHeight="1" x14ac:dyDescent="0.2">
      <c r="A92" s="25"/>
      <c r="B92" s="25"/>
      <c r="C92" s="25"/>
      <c r="D92" s="26"/>
      <c r="E92" s="8"/>
      <c r="F92" s="8"/>
      <c r="G92" s="8"/>
      <c r="H92" s="6"/>
      <c r="I92" s="6"/>
      <c r="K92" s="22"/>
    </row>
    <row r="93" spans="1:11" x14ac:dyDescent="0.2">
      <c r="A93" s="150" t="s">
        <v>306</v>
      </c>
      <c r="B93" s="25" t="s">
        <v>97</v>
      </c>
      <c r="C93" s="150">
        <v>1.2999999999999999E-2</v>
      </c>
      <c r="D93" s="152" t="s">
        <v>107</v>
      </c>
      <c r="G93" s="151">
        <f>K93*0.85</f>
        <v>0.34</v>
      </c>
      <c r="H93" s="151"/>
      <c r="K93" s="21">
        <v>0.4</v>
      </c>
    </row>
    <row r="94" spans="1:11" x14ac:dyDescent="0.2">
      <c r="A94" s="150" t="s">
        <v>307</v>
      </c>
      <c r="B94" s="25" t="s">
        <v>97</v>
      </c>
      <c r="C94" s="150">
        <v>1.2999999999999999E-2</v>
      </c>
      <c r="D94" s="152" t="s">
        <v>107</v>
      </c>
      <c r="G94" s="151">
        <f t="shared" ref="G94:G96" si="6">K94*0.85</f>
        <v>0.51</v>
      </c>
      <c r="H94" s="151"/>
      <c r="K94" s="21">
        <v>0.6</v>
      </c>
    </row>
    <row r="95" spans="1:11" x14ac:dyDescent="0.2">
      <c r="A95" s="150" t="s">
        <v>308</v>
      </c>
      <c r="B95" s="25" t="s">
        <v>97</v>
      </c>
      <c r="C95" s="150">
        <v>1.2999999999999999E-2</v>
      </c>
      <c r="D95" s="152" t="s">
        <v>107</v>
      </c>
      <c r="G95" s="151">
        <f t="shared" si="6"/>
        <v>0.68</v>
      </c>
      <c r="H95" s="151"/>
      <c r="K95" s="21">
        <v>0.8</v>
      </c>
    </row>
    <row r="96" spans="1:11" x14ac:dyDescent="0.2">
      <c r="A96" s="150" t="s">
        <v>309</v>
      </c>
      <c r="B96" s="25" t="s">
        <v>97</v>
      </c>
      <c r="C96" s="150">
        <v>1.2999999999999999E-2</v>
      </c>
      <c r="D96" s="152" t="s">
        <v>107</v>
      </c>
      <c r="G96" s="151">
        <f t="shared" si="6"/>
        <v>0.85</v>
      </c>
      <c r="H96" s="151"/>
      <c r="K96" s="94">
        <v>1</v>
      </c>
    </row>
    <row r="97" spans="1:11" x14ac:dyDescent="0.2">
      <c r="A97" s="150" t="s">
        <v>317</v>
      </c>
      <c r="B97" s="25" t="s">
        <v>97</v>
      </c>
      <c r="C97" s="150">
        <v>1.2999999999999999E-2</v>
      </c>
      <c r="D97" s="152" t="s">
        <v>107</v>
      </c>
      <c r="G97" s="151">
        <f t="shared" ref="G97" si="7">K97*0.85</f>
        <v>1.02</v>
      </c>
      <c r="H97" s="151"/>
      <c r="K97" s="94">
        <v>1.2</v>
      </c>
    </row>
    <row r="98" spans="1:11" x14ac:dyDescent="0.2">
      <c r="A98" s="150" t="s">
        <v>318</v>
      </c>
      <c r="B98" s="25" t="s">
        <v>97</v>
      </c>
      <c r="C98" s="150">
        <v>1.2999999999999999E-2</v>
      </c>
      <c r="D98" s="152" t="s">
        <v>107</v>
      </c>
      <c r="G98" s="151">
        <f t="shared" ref="G98" si="8">K98*0.85</f>
        <v>1.2749999999999999</v>
      </c>
      <c r="H98" s="151"/>
      <c r="K98" s="94">
        <v>1.5</v>
      </c>
    </row>
  </sheetData>
  <mergeCells count="7">
    <mergeCell ref="A1:I1"/>
    <mergeCell ref="H4:I5"/>
    <mergeCell ref="E3:I3"/>
    <mergeCell ref="B3:D3"/>
    <mergeCell ref="A3:A5"/>
    <mergeCell ref="B4:B5"/>
    <mergeCell ref="D4:D5"/>
  </mergeCells>
  <phoneticPr fontId="2" type="noConversion"/>
  <printOptions horizontalCentered="1"/>
  <pageMargins left="0.19685039370078741" right="0.19685039370078741" top="0.19685039370078741" bottom="1.1811023622047245" header="0.19685039370078741" footer="0.19685039370078741"/>
  <pageSetup paperSize="9" scale="93" fitToHeight="0" orientation="portrait" horizontalDpi="300" verticalDpi="300" r:id="rId1"/>
  <headerFooter alignWithMargins="0"/>
  <rowBreaks count="1" manualBreakCount="1">
    <brk id="4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4F6AC-B5CF-4E54-9F72-41AF283BD0F6}">
  <sheetPr codeName="Planilha3"/>
  <dimension ref="B2:N51"/>
  <sheetViews>
    <sheetView workbookViewId="0">
      <selection activeCell="L9" sqref="L9"/>
    </sheetView>
  </sheetViews>
  <sheetFormatPr defaultRowHeight="12.75" x14ac:dyDescent="0.2"/>
  <sheetData>
    <row r="2" spans="2:4" x14ac:dyDescent="0.2">
      <c r="B2" s="95" t="s">
        <v>275</v>
      </c>
      <c r="C2" s="95" t="s">
        <v>277</v>
      </c>
      <c r="D2" s="95" t="s">
        <v>276</v>
      </c>
    </row>
    <row r="3" spans="2:4" x14ac:dyDescent="0.2">
      <c r="B3" t="s">
        <v>56</v>
      </c>
      <c r="C3">
        <v>260.50000000000023</v>
      </c>
      <c r="D3">
        <v>2.2475367060014861E-2</v>
      </c>
    </row>
    <row r="4" spans="2:4" x14ac:dyDescent="0.2">
      <c r="B4" t="s">
        <v>57</v>
      </c>
      <c r="C4">
        <v>159.50000000000011</v>
      </c>
      <c r="D4">
        <v>1.7852793938574009E-2</v>
      </c>
    </row>
    <row r="5" spans="2:4" x14ac:dyDescent="0.2">
      <c r="B5" t="s">
        <v>58</v>
      </c>
      <c r="C5">
        <v>145.00000000000009</v>
      </c>
      <c r="D5">
        <v>2.9657589646805683E-3</v>
      </c>
    </row>
    <row r="6" spans="2:4" x14ac:dyDescent="0.2">
      <c r="B6" t="s">
        <v>59</v>
      </c>
      <c r="C6">
        <v>239.50000000000023</v>
      </c>
      <c r="D6">
        <v>7.1532984391945867E-3</v>
      </c>
    </row>
    <row r="7" spans="2:4" x14ac:dyDescent="0.2">
      <c r="B7" t="s">
        <v>60</v>
      </c>
      <c r="C7">
        <v>122.50000000000009</v>
      </c>
      <c r="D7">
        <v>4.6126552335895264E-3</v>
      </c>
    </row>
    <row r="8" spans="2:4" x14ac:dyDescent="0.2">
      <c r="B8" t="s">
        <v>61</v>
      </c>
      <c r="C8">
        <v>37.600000000000023</v>
      </c>
      <c r="D8">
        <v>1.3729874776387136E-2</v>
      </c>
    </row>
    <row r="9" spans="2:4" x14ac:dyDescent="0.2">
      <c r="B9" t="s">
        <v>62</v>
      </c>
      <c r="C9">
        <v>624.50000000000057</v>
      </c>
      <c r="D9">
        <v>4.240351490339006E-2</v>
      </c>
    </row>
    <row r="10" spans="2:4" x14ac:dyDescent="0.2">
      <c r="B10" t="s">
        <v>63</v>
      </c>
      <c r="C10">
        <v>36.500000000000028</v>
      </c>
      <c r="D10">
        <v>9.3464680442097558E-3</v>
      </c>
    </row>
    <row r="11" spans="2:4" x14ac:dyDescent="0.2">
      <c r="B11" t="s">
        <v>233</v>
      </c>
      <c r="C11">
        <v>443.00000000000034</v>
      </c>
      <c r="D11">
        <v>6.5094000987122633E-2</v>
      </c>
    </row>
    <row r="12" spans="2:4" x14ac:dyDescent="0.2">
      <c r="B12" t="s">
        <v>234</v>
      </c>
      <c r="C12">
        <v>43.33333333333335</v>
      </c>
      <c r="D12">
        <v>7.2024962341296253E-2</v>
      </c>
    </row>
    <row r="13" spans="2:4" x14ac:dyDescent="0.2">
      <c r="B13" t="s">
        <v>235</v>
      </c>
      <c r="C13">
        <v>233.99999999999997</v>
      </c>
      <c r="D13">
        <v>3.4575637128828642E-2</v>
      </c>
    </row>
    <row r="14" spans="2:4" x14ac:dyDescent="0.2">
      <c r="B14" t="s">
        <v>236</v>
      </c>
      <c r="C14">
        <v>447.00000000000023</v>
      </c>
      <c r="D14">
        <v>3.2653411458971687E-2</v>
      </c>
    </row>
    <row r="15" spans="2:4" x14ac:dyDescent="0.2">
      <c r="B15" t="s">
        <v>237</v>
      </c>
      <c r="C15">
        <v>1402.700000000001</v>
      </c>
      <c r="D15">
        <v>4.1378753220690602E-2</v>
      </c>
    </row>
    <row r="16" spans="2:4" x14ac:dyDescent="0.2">
      <c r="B16" t="s">
        <v>238</v>
      </c>
      <c r="C16">
        <v>597.86000000000035</v>
      </c>
      <c r="D16">
        <v>4.6028720858079915E-2</v>
      </c>
    </row>
    <row r="17" spans="2:14" x14ac:dyDescent="0.2">
      <c r="B17" t="s">
        <v>239</v>
      </c>
      <c r="C17">
        <v>129.90000000000006</v>
      </c>
      <c r="D17">
        <v>8.7830289336597173E-2</v>
      </c>
    </row>
    <row r="18" spans="2:14" x14ac:dyDescent="0.2">
      <c r="B18" t="s">
        <v>240</v>
      </c>
      <c r="C18">
        <v>195.80000000000021</v>
      </c>
      <c r="D18">
        <v>4.0890093234740368E-2</v>
      </c>
    </row>
    <row r="19" spans="2:14" x14ac:dyDescent="0.2">
      <c r="B19" t="s">
        <v>241</v>
      </c>
      <c r="C19">
        <v>327.20000000000033</v>
      </c>
      <c r="D19">
        <v>3.3286869250069635E-2</v>
      </c>
    </row>
    <row r="20" spans="2:14" x14ac:dyDescent="0.2">
      <c r="B20" t="s">
        <v>242</v>
      </c>
      <c r="C20">
        <v>241.10000000000008</v>
      </c>
      <c r="D20">
        <v>4.1089425691889302E-2</v>
      </c>
      <c r="N20" s="95"/>
    </row>
    <row r="21" spans="2:14" x14ac:dyDescent="0.2">
      <c r="B21" t="s">
        <v>243</v>
      </c>
      <c r="C21">
        <v>445.20000000000016</v>
      </c>
      <c r="D21">
        <v>4.3469460650077382E-2</v>
      </c>
    </row>
    <row r="22" spans="2:14" x14ac:dyDescent="0.2">
      <c r="B22" t="s">
        <v>244</v>
      </c>
      <c r="C22">
        <v>126.80000000000001</v>
      </c>
      <c r="D22">
        <v>3.9554579673776347E-2</v>
      </c>
    </row>
    <row r="23" spans="2:14" x14ac:dyDescent="0.2">
      <c r="B23" t="s">
        <v>245</v>
      </c>
      <c r="C23">
        <v>188.60000000000025</v>
      </c>
      <c r="D23">
        <v>2.486308871851009E-2</v>
      </c>
    </row>
    <row r="24" spans="2:14" x14ac:dyDescent="0.2">
      <c r="B24" t="s">
        <v>246</v>
      </c>
      <c r="C24">
        <v>649.2000000000005</v>
      </c>
      <c r="D24">
        <v>3.3785512761629784E-2</v>
      </c>
    </row>
    <row r="25" spans="2:14" x14ac:dyDescent="0.2">
      <c r="B25" t="s">
        <v>247</v>
      </c>
      <c r="C25">
        <v>85.400000000000048</v>
      </c>
      <c r="D25">
        <v>3.5056899790078463E-2</v>
      </c>
    </row>
    <row r="26" spans="2:14" x14ac:dyDescent="0.2">
      <c r="B26" t="s">
        <v>248</v>
      </c>
      <c r="C26">
        <v>153.80000000000021</v>
      </c>
      <c r="D26">
        <v>1.3993948562783579E-2</v>
      </c>
    </row>
    <row r="27" spans="2:14" x14ac:dyDescent="0.2">
      <c r="B27" t="s">
        <v>249</v>
      </c>
      <c r="C27">
        <v>47.400000000000041</v>
      </c>
      <c r="D27">
        <v>1.4494357158662818E-2</v>
      </c>
    </row>
    <row r="28" spans="2:14" x14ac:dyDescent="0.2">
      <c r="B28" t="s">
        <v>250</v>
      </c>
      <c r="C28">
        <v>64.200000000000045</v>
      </c>
      <c r="D28">
        <v>3.3163059551014715E-2</v>
      </c>
    </row>
    <row r="29" spans="2:14" x14ac:dyDescent="0.2">
      <c r="B29" t="s">
        <v>251</v>
      </c>
      <c r="C29">
        <v>28.400000000000041</v>
      </c>
      <c r="D29">
        <v>2.9951495553758509E-2</v>
      </c>
    </row>
    <row r="30" spans="2:14" x14ac:dyDescent="0.2">
      <c r="B30" t="s">
        <v>252</v>
      </c>
      <c r="C30">
        <v>159.80000000000027</v>
      </c>
      <c r="D30">
        <v>2.650620879963184E-2</v>
      </c>
    </row>
    <row r="31" spans="2:14" x14ac:dyDescent="0.2">
      <c r="B31" t="s">
        <v>253</v>
      </c>
      <c r="C31">
        <v>75.200000000000117</v>
      </c>
      <c r="D31">
        <v>5.5979643765906844E-3</v>
      </c>
    </row>
    <row r="32" spans="2:14" x14ac:dyDescent="0.2">
      <c r="B32" t="s">
        <v>254</v>
      </c>
      <c r="C32">
        <v>152.00000000000028</v>
      </c>
      <c r="D32">
        <v>2.08723979024318E-2</v>
      </c>
    </row>
    <row r="33" spans="2:4" x14ac:dyDescent="0.2">
      <c r="B33" t="s">
        <v>255</v>
      </c>
      <c r="C33">
        <v>64.166666666666728</v>
      </c>
      <c r="D33">
        <v>6.7112810707456805E-3</v>
      </c>
    </row>
    <row r="34" spans="2:4" x14ac:dyDescent="0.2">
      <c r="B34" t="s">
        <v>256</v>
      </c>
      <c r="C34">
        <v>226.25000000000023</v>
      </c>
      <c r="D34">
        <v>3.1505946693901721E-2</v>
      </c>
    </row>
    <row r="35" spans="2:4" x14ac:dyDescent="0.2">
      <c r="B35" t="s">
        <v>257</v>
      </c>
      <c r="C35">
        <v>327.00000000000028</v>
      </c>
      <c r="D35">
        <v>2.8660878546299569E-2</v>
      </c>
    </row>
    <row r="36" spans="2:4" x14ac:dyDescent="0.2">
      <c r="B36" t="s">
        <v>258</v>
      </c>
      <c r="C36">
        <v>121.30000000000011</v>
      </c>
      <c r="D36">
        <v>1.0337078651684976E-2</v>
      </c>
    </row>
    <row r="37" spans="2:4" x14ac:dyDescent="0.2">
      <c r="B37" t="s">
        <v>259</v>
      </c>
      <c r="C37">
        <v>45.200000000000045</v>
      </c>
      <c r="D37">
        <v>2.669990029910153E-2</v>
      </c>
    </row>
    <row r="38" spans="2:4" x14ac:dyDescent="0.2">
      <c r="B38" t="s">
        <v>260</v>
      </c>
      <c r="C38">
        <v>391.3000000000003</v>
      </c>
      <c r="D38">
        <v>4.8179109200706685E-2</v>
      </c>
    </row>
    <row r="39" spans="2:4" x14ac:dyDescent="0.2">
      <c r="B39" t="s">
        <v>261</v>
      </c>
      <c r="C39">
        <v>270.10000000000031</v>
      </c>
      <c r="D39">
        <v>7.0143944407677378E-2</v>
      </c>
    </row>
    <row r="40" spans="2:4" x14ac:dyDescent="0.2">
      <c r="B40" t="s">
        <v>262</v>
      </c>
      <c r="C40">
        <v>531.00000000000068</v>
      </c>
      <c r="D40">
        <v>7.4226203095187807E-2</v>
      </c>
    </row>
    <row r="41" spans="2:4" x14ac:dyDescent="0.2">
      <c r="B41" t="s">
        <v>263</v>
      </c>
      <c r="C41">
        <v>48.666666666666714</v>
      </c>
      <c r="D41">
        <v>2.352225735830937E-2</v>
      </c>
    </row>
    <row r="42" spans="2:4" x14ac:dyDescent="0.2">
      <c r="B42" t="s">
        <v>264</v>
      </c>
      <c r="C42">
        <v>50.1666666666667</v>
      </c>
      <c r="D42">
        <v>3.0435585086747895E-2</v>
      </c>
    </row>
    <row r="43" spans="2:4" x14ac:dyDescent="0.2">
      <c r="B43" t="s">
        <v>265</v>
      </c>
      <c r="C43">
        <v>62.000000000000071</v>
      </c>
      <c r="D43">
        <v>2.8367452262171012E-2</v>
      </c>
    </row>
    <row r="44" spans="2:4" x14ac:dyDescent="0.2">
      <c r="B44" t="s">
        <v>266</v>
      </c>
      <c r="C44">
        <v>454.1666666666668</v>
      </c>
      <c r="D44">
        <v>9.5256592757014966E-2</v>
      </c>
    </row>
    <row r="45" spans="2:4" x14ac:dyDescent="0.2">
      <c r="B45" t="s">
        <v>268</v>
      </c>
      <c r="C45">
        <v>303.62500000000023</v>
      </c>
      <c r="D45">
        <v>4.2610714285714023E-2</v>
      </c>
    </row>
    <row r="46" spans="2:4" x14ac:dyDescent="0.2">
      <c r="B46" t="s">
        <v>267</v>
      </c>
      <c r="C46">
        <v>108.6250000000001</v>
      </c>
      <c r="D46">
        <v>1.5246506913776837E-2</v>
      </c>
    </row>
    <row r="47" spans="2:4" x14ac:dyDescent="0.2">
      <c r="B47" t="s">
        <v>269</v>
      </c>
      <c r="C47">
        <v>114.00000000000016</v>
      </c>
      <c r="D47">
        <v>1.9821196607320631E-2</v>
      </c>
    </row>
    <row r="48" spans="2:4" x14ac:dyDescent="0.2">
      <c r="B48" t="s">
        <v>270</v>
      </c>
      <c r="C48">
        <v>104.25000000000003</v>
      </c>
      <c r="D48">
        <v>1.4514796971782774E-2</v>
      </c>
    </row>
    <row r="49" spans="2:4" x14ac:dyDescent="0.2">
      <c r="B49" t="s">
        <v>271</v>
      </c>
      <c r="C49">
        <v>208.87500000000023</v>
      </c>
      <c r="D49">
        <v>9.5463531370306755E-3</v>
      </c>
    </row>
    <row r="50" spans="2:4" x14ac:dyDescent="0.2">
      <c r="B50" t="s">
        <v>272</v>
      </c>
      <c r="C50">
        <v>437.87500000000034</v>
      </c>
      <c r="D50">
        <v>3.8671811060446655E-2</v>
      </c>
    </row>
    <row r="51" spans="2:4" x14ac:dyDescent="0.2">
      <c r="B51" t="s">
        <v>273</v>
      </c>
      <c r="C51">
        <v>256.25000000000011</v>
      </c>
      <c r="D51">
        <v>9.3860810868543719E-3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88DE9-D204-4C17-AA3C-841F77DD66CB}">
  <sheetPr codeName="Planilha4"/>
  <dimension ref="A2:B8"/>
  <sheetViews>
    <sheetView workbookViewId="0">
      <selection activeCell="B2" sqref="B2"/>
    </sheetView>
  </sheetViews>
  <sheetFormatPr defaultRowHeight="12.75" x14ac:dyDescent="0.2"/>
  <sheetData>
    <row r="2" spans="1:2" x14ac:dyDescent="0.2">
      <c r="A2" t="s">
        <v>183</v>
      </c>
    </row>
    <row r="3" spans="1:2" x14ac:dyDescent="0.2">
      <c r="A3" t="s">
        <v>110</v>
      </c>
    </row>
    <row r="4" spans="1:2" x14ac:dyDescent="0.2">
      <c r="A4" t="s">
        <v>274</v>
      </c>
    </row>
    <row r="5" spans="1:2" x14ac:dyDescent="0.2">
      <c r="A5" t="s">
        <v>92</v>
      </c>
    </row>
    <row r="6" spans="1:2" x14ac:dyDescent="0.2">
      <c r="A6" t="s">
        <v>286</v>
      </c>
    </row>
    <row r="7" spans="1:2" x14ac:dyDescent="0.2">
      <c r="A7" t="s">
        <v>280</v>
      </c>
    </row>
    <row r="8" spans="1:2" x14ac:dyDescent="0.2">
      <c r="B8" t="s">
        <v>287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superficial</vt:lpstr>
      <vt:lpstr>TIPOS</vt:lpstr>
      <vt:lpstr>Planilha1</vt:lpstr>
      <vt:lpstr>Planilha2</vt:lpstr>
      <vt:lpstr>superficial!Area_de_impressao</vt:lpstr>
      <vt:lpstr>TIPOS!Area_de_impressao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bruno.ribeiro</dc:creator>
  <cp:lastModifiedBy>Anderson Silvas</cp:lastModifiedBy>
  <cp:lastPrinted>2025-05-23T17:23:33Z</cp:lastPrinted>
  <dcterms:created xsi:type="dcterms:W3CDTF">2016-06-10T13:57:54Z</dcterms:created>
  <dcterms:modified xsi:type="dcterms:W3CDTF">2025-06-26T20:30:50Z</dcterms:modified>
</cp:coreProperties>
</file>